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65" yWindow="180" windowWidth="14940" windowHeight="9150"/>
  </bookViews>
  <sheets>
    <sheet name="FANTATOUR" sheetId="1" r:id="rId1"/>
    <sheet name="ASTA" sheetId="2" r:id="rId2"/>
  </sheets>
  <definedNames>
    <definedName name="_xlnm._FilterDatabase" localSheetId="0" hidden="1">FANTATOUR!$A$65:$B$65</definedName>
  </definedNames>
  <calcPr calcId="125725"/>
</workbook>
</file>

<file path=xl/calcChain.xml><?xml version="1.0" encoding="utf-8"?>
<calcChain xmlns="http://schemas.openxmlformats.org/spreadsheetml/2006/main">
  <c r="W16" i="1"/>
  <c r="W19"/>
  <c r="W3"/>
  <c r="W31"/>
  <c r="W18"/>
  <c r="W20"/>
  <c r="W45"/>
  <c r="V61"/>
  <c r="W15"/>
  <c r="V31"/>
  <c r="V18"/>
  <c r="V20"/>
  <c r="V54"/>
  <c r="V30"/>
  <c r="V9"/>
  <c r="V10"/>
  <c r="V12" s="1"/>
  <c r="V60"/>
  <c r="V48"/>
  <c r="V36"/>
  <c r="V24"/>
  <c r="U45"/>
  <c r="U48"/>
  <c r="U49" s="1"/>
  <c r="U40"/>
  <c r="U55"/>
  <c r="U21"/>
  <c r="U4"/>
  <c r="U60"/>
  <c r="U36"/>
  <c r="U37" s="1"/>
  <c r="U24"/>
  <c r="U25" s="1"/>
  <c r="U12"/>
  <c r="U13" s="1"/>
  <c r="T18"/>
  <c r="T31"/>
  <c r="T20"/>
  <c r="T36"/>
  <c r="T37" s="1"/>
  <c r="T41"/>
  <c r="T48" s="1"/>
  <c r="T49" s="1"/>
  <c r="T10"/>
  <c r="T30"/>
  <c r="T12"/>
  <c r="T13" s="1"/>
  <c r="T60"/>
  <c r="S16"/>
  <c r="S19"/>
  <c r="S3"/>
  <c r="S12"/>
  <c r="S11"/>
  <c r="S45"/>
  <c r="S32"/>
  <c r="S15"/>
  <c r="S59"/>
  <c r="S35"/>
  <c r="S13"/>
  <c r="S36"/>
  <c r="S37" s="1"/>
  <c r="S48"/>
  <c r="S49" s="1"/>
  <c r="S60"/>
  <c r="R11"/>
  <c r="R31"/>
  <c r="R9"/>
  <c r="R28"/>
  <c r="R12"/>
  <c r="R13" s="1"/>
  <c r="R24"/>
  <c r="R25" s="1"/>
  <c r="R48"/>
  <c r="R49" s="1"/>
  <c r="R60"/>
  <c r="Q19"/>
  <c r="Q3"/>
  <c r="Q46"/>
  <c r="Q45"/>
  <c r="Q32"/>
  <c r="Q36" s="1"/>
  <c r="Q37" s="1"/>
  <c r="Q15"/>
  <c r="Q39"/>
  <c r="Q12"/>
  <c r="Q13" s="1"/>
  <c r="Q48"/>
  <c r="Q49" s="1"/>
  <c r="Q60"/>
  <c r="P19"/>
  <c r="P32"/>
  <c r="P15"/>
  <c r="P3"/>
  <c r="P44"/>
  <c r="P39"/>
  <c r="P48" s="1"/>
  <c r="P49" s="1"/>
  <c r="P43"/>
  <c r="P11"/>
  <c r="P45"/>
  <c r="P56"/>
  <c r="P60"/>
  <c r="P36"/>
  <c r="P37" s="1"/>
  <c r="P24"/>
  <c r="P25" s="1"/>
  <c r="P12"/>
  <c r="P13" s="1"/>
  <c r="O18"/>
  <c r="O31"/>
  <c r="O20"/>
  <c r="O32"/>
  <c r="O9"/>
  <c r="O12" s="1"/>
  <c r="O13" s="1"/>
  <c r="O41"/>
  <c r="O39"/>
  <c r="O24"/>
  <c r="O25" s="1"/>
  <c r="O48"/>
  <c r="O49" s="1"/>
  <c r="O60"/>
  <c r="N6"/>
  <c r="N58"/>
  <c r="N16"/>
  <c r="N19"/>
  <c r="N32"/>
  <c r="N15"/>
  <c r="N3"/>
  <c r="N8"/>
  <c r="N40"/>
  <c r="N11"/>
  <c r="N45"/>
  <c r="N35"/>
  <c r="N36" s="1"/>
  <c r="N37" s="1"/>
  <c r="N39"/>
  <c r="N48"/>
  <c r="N49" s="1"/>
  <c r="N60"/>
  <c r="M34"/>
  <c r="M30"/>
  <c r="M31"/>
  <c r="M20"/>
  <c r="M32"/>
  <c r="M9"/>
  <c r="W9" s="1"/>
  <c r="M10"/>
  <c r="M41"/>
  <c r="M48" s="1"/>
  <c r="M49" s="1"/>
  <c r="M52"/>
  <c r="M6"/>
  <c r="M18"/>
  <c r="M24"/>
  <c r="M25" s="1"/>
  <c r="M60"/>
  <c r="L20"/>
  <c r="L30"/>
  <c r="L31"/>
  <c r="L18"/>
  <c r="L24" s="1"/>
  <c r="L25" s="1"/>
  <c r="L12"/>
  <c r="L13" s="1"/>
  <c r="L36"/>
  <c r="L37" s="1"/>
  <c r="L48"/>
  <c r="L49" s="1"/>
  <c r="L60"/>
  <c r="K19"/>
  <c r="K24" s="1"/>
  <c r="K25" s="1"/>
  <c r="K32"/>
  <c r="K36" s="1"/>
  <c r="K37" s="1"/>
  <c r="K15"/>
  <c r="K3"/>
  <c r="K42"/>
  <c r="K45"/>
  <c r="K51"/>
  <c r="K11"/>
  <c r="K44"/>
  <c r="K12"/>
  <c r="K13" s="1"/>
  <c r="K48"/>
  <c r="K49" s="1"/>
  <c r="K60"/>
  <c r="J19"/>
  <c r="J16"/>
  <c r="J3"/>
  <c r="J12" s="1"/>
  <c r="J13" s="1"/>
  <c r="J15"/>
  <c r="J8"/>
  <c r="J7"/>
  <c r="J43"/>
  <c r="J45"/>
  <c r="J42"/>
  <c r="J48" s="1"/>
  <c r="J49" s="1"/>
  <c r="J32"/>
  <c r="J36"/>
  <c r="J37" s="1"/>
  <c r="J60"/>
  <c r="I46"/>
  <c r="I48" s="1"/>
  <c r="I49" s="1"/>
  <c r="I8"/>
  <c r="I15"/>
  <c r="I12"/>
  <c r="I13" s="1"/>
  <c r="I24"/>
  <c r="I25" s="1"/>
  <c r="I36"/>
  <c r="I37" s="1"/>
  <c r="I60"/>
  <c r="H30"/>
  <c r="H36" s="1"/>
  <c r="H37" s="1"/>
  <c r="H20"/>
  <c r="H31"/>
  <c r="H34"/>
  <c r="H9"/>
  <c r="H24"/>
  <c r="H25" s="1"/>
  <c r="H6"/>
  <c r="H18"/>
  <c r="H48"/>
  <c r="H49" s="1"/>
  <c r="H60"/>
  <c r="H61" s="1"/>
  <c r="G20"/>
  <c r="G30"/>
  <c r="G31"/>
  <c r="G6"/>
  <c r="G41"/>
  <c r="G48" s="1"/>
  <c r="G49" s="1"/>
  <c r="G9"/>
  <c r="G18"/>
  <c r="G60"/>
  <c r="G61" s="1"/>
  <c r="G36"/>
  <c r="G37" s="1"/>
  <c r="G24"/>
  <c r="G25" s="1"/>
  <c r="G12"/>
  <c r="G13" s="1"/>
  <c r="F30"/>
  <c r="F20"/>
  <c r="F31"/>
  <c r="F32"/>
  <c r="F18"/>
  <c r="F9"/>
  <c r="F10"/>
  <c r="F54"/>
  <c r="F34"/>
  <c r="F41"/>
  <c r="F60"/>
  <c r="F61" s="1"/>
  <c r="F48"/>
  <c r="F49" s="1"/>
  <c r="F36"/>
  <c r="F37" s="1"/>
  <c r="F24"/>
  <c r="F25" s="1"/>
  <c r="F12"/>
  <c r="F13" s="1"/>
  <c r="E27"/>
  <c r="E17"/>
  <c r="E3"/>
  <c r="E12" s="1"/>
  <c r="E13" s="1"/>
  <c r="E31"/>
  <c r="E8"/>
  <c r="E4"/>
  <c r="E40"/>
  <c r="E48" s="1"/>
  <c r="E49" s="1"/>
  <c r="E60"/>
  <c r="E61" s="1"/>
  <c r="E36"/>
  <c r="E37" s="1"/>
  <c r="E24"/>
  <c r="E25" s="1"/>
  <c r="D21"/>
  <c r="D4"/>
  <c r="D22"/>
  <c r="D31"/>
  <c r="D30"/>
  <c r="D12"/>
  <c r="D13" s="1"/>
  <c r="D24"/>
  <c r="D25" s="1"/>
  <c r="D48"/>
  <c r="D49" s="1"/>
  <c r="D60"/>
  <c r="D61" s="1"/>
  <c r="C31"/>
  <c r="C20"/>
  <c r="C30"/>
  <c r="W30" s="1"/>
  <c r="B41"/>
  <c r="B6"/>
  <c r="B28"/>
  <c r="B21"/>
  <c r="B15"/>
  <c r="B4"/>
  <c r="B7"/>
  <c r="W7" s="1"/>
  <c r="B29"/>
  <c r="W29" s="1"/>
  <c r="W33"/>
  <c r="W41"/>
  <c r="I11" i="2"/>
  <c r="G11"/>
  <c r="E11"/>
  <c r="C11"/>
  <c r="W54" i="1"/>
  <c r="W53"/>
  <c r="C24"/>
  <c r="W5"/>
  <c r="B48"/>
  <c r="B49" s="1"/>
  <c r="W51"/>
  <c r="W42"/>
  <c r="W39"/>
  <c r="W23"/>
  <c r="W57"/>
  <c r="W58"/>
  <c r="W59"/>
  <c r="C48"/>
  <c r="W40"/>
  <c r="B36"/>
  <c r="B37" s="1"/>
  <c r="W34"/>
  <c r="W35"/>
  <c r="W28"/>
  <c r="C12"/>
  <c r="W10"/>
  <c r="W4"/>
  <c r="W43"/>
  <c r="W44"/>
  <c r="W46"/>
  <c r="W47"/>
  <c r="W22"/>
  <c r="W52"/>
  <c r="W55"/>
  <c r="W56"/>
  <c r="W27"/>
  <c r="W32"/>
  <c r="W8"/>
  <c r="W6"/>
  <c r="W11"/>
  <c r="W21"/>
  <c r="W17"/>
  <c r="B60"/>
  <c r="B61" s="1"/>
  <c r="B24"/>
  <c r="B25" s="1"/>
  <c r="C60"/>
  <c r="I61" l="1"/>
  <c r="J61"/>
  <c r="K61" s="1"/>
  <c r="L61" s="1"/>
  <c r="M61" s="1"/>
  <c r="N61" s="1"/>
  <c r="O61" s="1"/>
  <c r="P61" s="1"/>
  <c r="Q61" s="1"/>
  <c r="R61" s="1"/>
  <c r="S61" s="1"/>
  <c r="T61" s="1"/>
  <c r="U61" s="1"/>
  <c r="T24"/>
  <c r="T25" s="1"/>
  <c r="S24"/>
  <c r="S25" s="1"/>
  <c r="R36"/>
  <c r="R37" s="1"/>
  <c r="Q24"/>
  <c r="Q25" s="1"/>
  <c r="O36"/>
  <c r="O37" s="1"/>
  <c r="N12"/>
  <c r="N13" s="1"/>
  <c r="N24"/>
  <c r="N25" s="1"/>
  <c r="M12"/>
  <c r="M13" s="1"/>
  <c r="M36"/>
  <c r="M37" s="1"/>
  <c r="J24"/>
  <c r="J25" s="1"/>
  <c r="H12"/>
  <c r="H13" s="1"/>
  <c r="W49"/>
  <c r="W48"/>
  <c r="D36"/>
  <c r="D37" s="1"/>
  <c r="W61"/>
  <c r="C36"/>
  <c r="B12"/>
  <c r="B13" s="1"/>
  <c r="C13" s="1"/>
  <c r="W36"/>
  <c r="W12"/>
  <c r="C61"/>
  <c r="W60"/>
  <c r="B70" s="1"/>
  <c r="C49"/>
  <c r="W37"/>
  <c r="C37"/>
  <c r="W25"/>
  <c r="C25"/>
  <c r="W24"/>
  <c r="W13"/>
  <c r="B67" l="1"/>
  <c r="C68" s="1"/>
  <c r="V13"/>
  <c r="B68"/>
  <c r="V37"/>
  <c r="B66"/>
  <c r="C67" s="1"/>
  <c r="V25"/>
  <c r="B69"/>
  <c r="V49"/>
  <c r="C70"/>
  <c r="C69" l="1"/>
</calcChain>
</file>

<file path=xl/sharedStrings.xml><?xml version="1.0" encoding="utf-8"?>
<sst xmlns="http://schemas.openxmlformats.org/spreadsheetml/2006/main" count="175" uniqueCount="142">
  <si>
    <t>Bonaz</t>
  </si>
  <si>
    <t>Kalle</t>
  </si>
  <si>
    <t>TOT</t>
  </si>
  <si>
    <t>PARZIALI</t>
  </si>
  <si>
    <t xml:space="preserve">CLASSIFICA </t>
  </si>
  <si>
    <t>REGOLAMENTO</t>
  </si>
  <si>
    <t>RIT</t>
  </si>
  <si>
    <t>DOPING</t>
  </si>
  <si>
    <t>DIFF</t>
  </si>
  <si>
    <t>TAPPA</t>
  </si>
  <si>
    <t>CARCERE</t>
  </si>
  <si>
    <t>Maglie finali</t>
  </si>
  <si>
    <t>Maffo</t>
  </si>
  <si>
    <t>tolti tutti i punti conquistati dal ciclista</t>
  </si>
  <si>
    <t>Prima maglia</t>
  </si>
  <si>
    <t>Mantenimento</t>
  </si>
  <si>
    <t>1°</t>
  </si>
  <si>
    <t>2°</t>
  </si>
  <si>
    <t>3°</t>
  </si>
  <si>
    <t>Iaschi</t>
  </si>
  <si>
    <t>Ogni corridore puo vestire e di conseguenza fare punti in una tappa</t>
  </si>
  <si>
    <t xml:space="preserve">il secondo in classifica della maglia meno importante </t>
  </si>
  <si>
    <t xml:space="preserve">diventa il leader di di quella classifica e prende i pt del primo </t>
  </si>
  <si>
    <t>Generale</t>
  </si>
  <si>
    <t>Montagna</t>
  </si>
  <si>
    <t>Punti</t>
  </si>
  <si>
    <t xml:space="preserve">con una maglia sola (quella piu importante nell'ordine qua sopra) </t>
  </si>
  <si>
    <t>e viene cancellato dalle altre classifiche</t>
  </si>
  <si>
    <t>cosi a scalare ecc…..</t>
  </si>
  <si>
    <t>mentre viene cancellato da quella dove ne fa meno</t>
  </si>
  <si>
    <t>viene tenuto conto della classifica in cui fa piu punti</t>
  </si>
  <si>
    <t>se un corridore prende piu punti con una maglia meno importante</t>
  </si>
  <si>
    <t>anche se piu importante</t>
  </si>
  <si>
    <t>note:</t>
  </si>
  <si>
    <t>VERDE</t>
  </si>
  <si>
    <t>se un corridore si piazza in piu classifiche</t>
  </si>
  <si>
    <t>prende i punti anche delle altre classifiche</t>
  </si>
  <si>
    <t>non piu solo i punti di quella piu importante</t>
  </si>
  <si>
    <t>Vene</t>
  </si>
  <si>
    <t xml:space="preserve">meglio piazzato nella classifica </t>
  </si>
  <si>
    <t>della maglia rosa</t>
  </si>
  <si>
    <t xml:space="preserve">In caso di parimerito vince chi ha il corridore </t>
  </si>
  <si>
    <t>Regolamento maglie</t>
  </si>
  <si>
    <t>per le maglie finali</t>
  </si>
  <si>
    <t>Vandevelde</t>
  </si>
  <si>
    <t>Sastre</t>
  </si>
  <si>
    <t>Cunego</t>
  </si>
  <si>
    <t>BIANCA</t>
  </si>
  <si>
    <t>Giovani</t>
  </si>
  <si>
    <t>BONAZ</t>
  </si>
  <si>
    <t>KALLE</t>
  </si>
  <si>
    <t>IASCHICCHI</t>
  </si>
  <si>
    <t>VENE</t>
  </si>
  <si>
    <t>Evans</t>
  </si>
  <si>
    <t>Vinokurov</t>
  </si>
  <si>
    <t>Petacchi</t>
  </si>
  <si>
    <t>Hondo</t>
  </si>
  <si>
    <t>Wiggins</t>
  </si>
  <si>
    <t>Contador</t>
  </si>
  <si>
    <t>Andy Schleck</t>
  </si>
  <si>
    <t>Cancellara</t>
  </si>
  <si>
    <t>Frank Schleck</t>
  </si>
  <si>
    <t>Armstrong</t>
  </si>
  <si>
    <t>Brajcovic</t>
  </si>
  <si>
    <t>Boasson hagen</t>
  </si>
  <si>
    <t xml:space="preserve">Basso </t>
  </si>
  <si>
    <t>Kreuziger</t>
  </si>
  <si>
    <t>Szmyd</t>
  </si>
  <si>
    <t>Farrar</t>
  </si>
  <si>
    <t>Mc Ewen</t>
  </si>
  <si>
    <t>Hushovd</t>
  </si>
  <si>
    <t>Cavendish</t>
  </si>
  <si>
    <t>Rogers</t>
  </si>
  <si>
    <t>Ciolek</t>
  </si>
  <si>
    <t>Luis leon Sanchez</t>
  </si>
  <si>
    <t>Samuel Sanchez</t>
  </si>
  <si>
    <t>Menchov</t>
  </si>
  <si>
    <t>Freire</t>
  </si>
  <si>
    <t>Gesink</t>
  </si>
  <si>
    <t>Martin tony</t>
  </si>
  <si>
    <t>Voeckler</t>
  </si>
  <si>
    <t>Mattew Lloyd</t>
  </si>
  <si>
    <t>Eisel</t>
  </si>
  <si>
    <t>Seeldrayers</t>
  </si>
  <si>
    <t>Hunter</t>
  </si>
  <si>
    <t>Kloden</t>
  </si>
  <si>
    <t>FANTATOUR 2010 (1° Memorial Pietro Taricone)</t>
  </si>
  <si>
    <t>GIALLA</t>
  </si>
  <si>
    <t>POIS</t>
  </si>
  <si>
    <t>NERA</t>
  </si>
  <si>
    <t>Ultimo</t>
  </si>
  <si>
    <t xml:space="preserve">DOPING TECNOLOGICO </t>
  </si>
  <si>
    <t>ad esempio bici elettrica</t>
  </si>
  <si>
    <t>PT</t>
  </si>
  <si>
    <t>FARRAR Tyler</t>
  </si>
  <si>
    <t>SZMYD Sylvester</t>
  </si>
  <si>
    <t>ROGERS Michael</t>
  </si>
  <si>
    <t>CIOLEK Gerald</t>
  </si>
  <si>
    <t>FREIRE Oscar</t>
  </si>
  <si>
    <t>CUNEGO Damiano</t>
  </si>
  <si>
    <t>IASCHI</t>
  </si>
  <si>
    <t>KREUZIGER Roman</t>
  </si>
  <si>
    <t>VANDEVELDE Christian</t>
  </si>
  <si>
    <t>CAVENDISH Mark</t>
  </si>
  <si>
    <t>EISEL Bernhard</t>
  </si>
  <si>
    <t>SEELDRAYERS Kevin</t>
  </si>
  <si>
    <t>SCHLECK Frank</t>
  </si>
  <si>
    <t>ARMSTRONG Lance</t>
  </si>
  <si>
    <t>BRAJKOVIC Janez</t>
  </si>
  <si>
    <t>MC EWEN Robbie</t>
  </si>
  <si>
    <t>SANCHEZ Samuel</t>
  </si>
  <si>
    <t>HONDO Danilo</t>
  </si>
  <si>
    <t>HUNTER Robert</t>
  </si>
  <si>
    <t>WIGGINS Bradley</t>
  </si>
  <si>
    <t>BOASSON HAGEN Edvald</t>
  </si>
  <si>
    <t>BASSO Ivan</t>
  </si>
  <si>
    <t>SASTRE Carlos</t>
  </si>
  <si>
    <t>SANCHEZ Luis-Leon</t>
  </si>
  <si>
    <t>MENCHOV Denis</t>
  </si>
  <si>
    <t>VOECKLER Thomas</t>
  </si>
  <si>
    <t>LLOYD Matthew</t>
  </si>
  <si>
    <t>VOIGT Jens</t>
  </si>
  <si>
    <t>ARASHIRO Yukiya</t>
  </si>
  <si>
    <t>LÖVKVIST Thomas</t>
  </si>
  <si>
    <t>OSS Daniel</t>
  </si>
  <si>
    <t>ZABRISKIE David</t>
  </si>
  <si>
    <t>RIBLON Christophe</t>
  </si>
  <si>
    <t>NOCENTINI Rinaldo</t>
  </si>
  <si>
    <t>DUMOULIN Samuel</t>
  </si>
  <si>
    <t>SIVTSOV Kanstantsin</t>
  </si>
  <si>
    <t>KLÖDEN Andréas</t>
  </si>
  <si>
    <t>MAFFO</t>
  </si>
  <si>
    <t xml:space="preserve">VINOKOUROV Alexandre </t>
  </si>
  <si>
    <r>
      <rPr>
        <b/>
        <sz val="9"/>
        <rFont val="Arial"/>
        <family val="2"/>
      </rPr>
      <t xml:space="preserve">MARTIN Tony </t>
    </r>
    <r>
      <rPr>
        <b/>
        <sz val="9"/>
        <color rgb="FF00B0F0"/>
        <rFont val="Arial"/>
        <family val="2"/>
      </rPr>
      <t>I</t>
    </r>
    <r>
      <rPr>
        <b/>
        <sz val="9"/>
        <color rgb="FF00B050"/>
        <rFont val="Arial"/>
        <family val="2"/>
      </rPr>
      <t xml:space="preserve"> I</t>
    </r>
  </si>
  <si>
    <t>P</t>
  </si>
  <si>
    <r>
      <rPr>
        <b/>
        <sz val="9"/>
        <rFont val="Arial"/>
        <family val="2"/>
      </rPr>
      <t>CANCELLARA Fabian</t>
    </r>
    <r>
      <rPr>
        <b/>
        <sz val="9"/>
        <color rgb="FFFFC000"/>
        <rFont val="Arial"/>
        <family val="2"/>
      </rPr>
      <t xml:space="preserve"> I</t>
    </r>
  </si>
  <si>
    <r>
      <rPr>
        <b/>
        <sz val="9"/>
        <rFont val="Arial"/>
        <family val="2"/>
      </rPr>
      <t>EVANS Cadel</t>
    </r>
    <r>
      <rPr>
        <b/>
        <sz val="9"/>
        <color rgb="FFFFC000"/>
        <rFont val="Arial"/>
        <family val="2"/>
      </rPr>
      <t xml:space="preserve"> I</t>
    </r>
  </si>
  <si>
    <r>
      <t>SCHLECK Andy</t>
    </r>
    <r>
      <rPr>
        <b/>
        <sz val="9"/>
        <color rgb="FFFFC000"/>
        <rFont val="Arial"/>
        <family val="2"/>
      </rPr>
      <t xml:space="preserve"> I</t>
    </r>
    <r>
      <rPr>
        <b/>
        <sz val="9"/>
        <color rgb="FF00B0F0"/>
        <rFont val="Arial"/>
        <family val="2"/>
      </rPr>
      <t xml:space="preserve"> I</t>
    </r>
  </si>
  <si>
    <r>
      <rPr>
        <b/>
        <sz val="9"/>
        <rFont val="Arial"/>
        <family val="2"/>
      </rPr>
      <t xml:space="preserve">GESINK Robert </t>
    </r>
    <r>
      <rPr>
        <b/>
        <sz val="9"/>
        <color rgb="FF00B0F0"/>
        <rFont val="Arial"/>
        <family val="2"/>
      </rPr>
      <t>I</t>
    </r>
  </si>
  <si>
    <t>CONTADOR Alberto I</t>
  </si>
  <si>
    <r>
      <rPr>
        <b/>
        <sz val="9"/>
        <rFont val="Arial"/>
        <family val="2"/>
      </rPr>
      <t xml:space="preserve">HUSHOVD Thor </t>
    </r>
    <r>
      <rPr>
        <b/>
        <sz val="9"/>
        <color rgb="FF00B050"/>
        <rFont val="Arial"/>
        <family val="2"/>
      </rPr>
      <t>I</t>
    </r>
  </si>
  <si>
    <t>PETACCHI Alessandro I</t>
  </si>
</sst>
</file>

<file path=xl/styles.xml><?xml version="1.0" encoding="utf-8"?>
<styleSheet xmlns="http://schemas.openxmlformats.org/spreadsheetml/2006/main">
  <fonts count="25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b/>
      <sz val="9"/>
      <color indexed="22"/>
      <name val="Arial"/>
      <family val="2"/>
    </font>
    <font>
      <b/>
      <sz val="10"/>
      <name val="Arial"/>
      <family val="2"/>
    </font>
    <font>
      <b/>
      <sz val="9"/>
      <color indexed="9"/>
      <name val="Arial"/>
      <family val="2"/>
    </font>
    <font>
      <sz val="9"/>
      <name val="Arial"/>
    </font>
    <font>
      <u/>
      <sz val="9"/>
      <name val="Arial"/>
      <family val="2"/>
    </font>
    <font>
      <sz val="10"/>
      <name val="Arial"/>
      <family val="2"/>
    </font>
    <font>
      <b/>
      <sz val="9"/>
      <color indexed="8"/>
      <name val="Arial"/>
      <family val="2"/>
    </font>
    <font>
      <b/>
      <sz val="9"/>
      <color indexed="10"/>
      <name val="Arial"/>
      <family val="2"/>
    </font>
    <font>
      <b/>
      <sz val="10"/>
      <color indexed="10"/>
      <name val="Arial"/>
      <family val="2"/>
    </font>
    <font>
      <b/>
      <sz val="9"/>
      <color indexed="51"/>
      <name val="Arial"/>
      <family val="2"/>
    </font>
    <font>
      <b/>
      <sz val="9"/>
      <color indexed="57"/>
      <name val="Arial"/>
      <family val="2"/>
    </font>
    <font>
      <b/>
      <sz val="9"/>
      <color indexed="36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8"/>
      <name val="Arial"/>
    </font>
    <font>
      <b/>
      <sz val="9"/>
      <color rgb="FF000000"/>
      <name val="Arial"/>
      <family val="2"/>
    </font>
    <font>
      <b/>
      <sz val="9"/>
      <color rgb="FFFFCC66"/>
      <name val="Arial"/>
      <family val="2"/>
    </font>
    <font>
      <b/>
      <sz val="9"/>
      <color rgb="FF00B050"/>
      <name val="Arial"/>
      <family val="2"/>
    </font>
    <font>
      <b/>
      <sz val="9"/>
      <color rgb="FFFF0000"/>
      <name val="Arial"/>
      <family val="2"/>
    </font>
    <font>
      <b/>
      <sz val="9"/>
      <color rgb="FFFFC000"/>
      <name val="Arial"/>
      <family val="2"/>
    </font>
    <font>
      <b/>
      <sz val="9"/>
      <color rgb="FF00B0F0"/>
      <name val="Arial"/>
      <family val="2"/>
    </font>
    <font>
      <b/>
      <sz val="9"/>
      <color theme="0" tint="-0.49998474074526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2" fillId="0" borderId="0" xfId="0" applyFont="1" applyAlignment="1">
      <alignment horizontal="left"/>
    </xf>
    <xf numFmtId="0" fontId="4" fillId="0" borderId="0" xfId="0" applyFont="1"/>
    <xf numFmtId="0" fontId="1" fillId="0" borderId="0" xfId="0" applyFont="1" applyFill="1"/>
    <xf numFmtId="0" fontId="2" fillId="0" borderId="0" xfId="0" applyFont="1" applyAlignment="1">
      <alignment horizontal="right"/>
    </xf>
    <xf numFmtId="0" fontId="2" fillId="3" borderId="0" xfId="0" applyFont="1" applyFill="1"/>
    <xf numFmtId="0" fontId="5" fillId="4" borderId="0" xfId="0" applyFont="1" applyFill="1"/>
    <xf numFmtId="0" fontId="3" fillId="4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10" fillId="0" borderId="0" xfId="0" applyFont="1" applyFill="1"/>
    <xf numFmtId="0" fontId="11" fillId="0" borderId="0" xfId="0" applyFont="1"/>
    <xf numFmtId="0" fontId="8" fillId="0" borderId="0" xfId="0" applyFont="1"/>
    <xf numFmtId="0" fontId="2" fillId="0" borderId="0" xfId="0" applyFont="1" applyFill="1" applyAlignment="1">
      <alignment horizontal="center"/>
    </xf>
    <xf numFmtId="0" fontId="2" fillId="0" borderId="0" xfId="0" quotePrefix="1" applyFont="1" applyFill="1" applyAlignment="1">
      <alignment horizontal="center"/>
    </xf>
    <xf numFmtId="0" fontId="4" fillId="0" borderId="0" xfId="0" applyFont="1" applyFill="1"/>
    <xf numFmtId="0" fontId="12" fillId="0" borderId="0" xfId="0" applyFont="1" applyFill="1"/>
    <xf numFmtId="0" fontId="12" fillId="0" borderId="0" xfId="0" applyFont="1"/>
    <xf numFmtId="0" fontId="13" fillId="0" borderId="0" xfId="0" applyFont="1"/>
    <xf numFmtId="0" fontId="10" fillId="0" borderId="0" xfId="0" applyFont="1"/>
    <xf numFmtId="0" fontId="14" fillId="0" borderId="0" xfId="0" applyFont="1"/>
    <xf numFmtId="0" fontId="15" fillId="4" borderId="0" xfId="0" applyFont="1" applyFill="1"/>
    <xf numFmtId="0" fontId="0" fillId="4" borderId="0" xfId="0" applyFill="1"/>
    <xf numFmtId="0" fontId="16" fillId="5" borderId="0" xfId="0" applyFont="1" applyFill="1"/>
    <xf numFmtId="0" fontId="0" fillId="6" borderId="0" xfId="0" applyFill="1"/>
    <xf numFmtId="0" fontId="5" fillId="5" borderId="0" xfId="0" applyFont="1" applyFill="1"/>
    <xf numFmtId="0" fontId="9" fillId="0" borderId="0" xfId="0" applyFont="1"/>
    <xf numFmtId="0" fontId="18" fillId="0" borderId="0" xfId="0" applyFont="1"/>
    <xf numFmtId="0" fontId="19" fillId="7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0" fillId="0" borderId="0" xfId="0" applyFont="1"/>
    <xf numFmtId="0" fontId="21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/>
    </xf>
    <xf numFmtId="0" fontId="20" fillId="7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3" fillId="0" borderId="0" xfId="0" applyFont="1"/>
    <xf numFmtId="0" fontId="22" fillId="0" borderId="0" xfId="0" applyFont="1"/>
    <xf numFmtId="0" fontId="2" fillId="8" borderId="0" xfId="0" applyFont="1" applyFill="1" applyAlignment="1">
      <alignment horizontal="center"/>
    </xf>
    <xf numFmtId="0" fontId="24" fillId="0" borderId="0" xfId="0" applyFont="1"/>
    <xf numFmtId="0" fontId="2" fillId="7" borderId="0" xfId="0" applyFont="1" applyFill="1" applyAlignment="1">
      <alignment horizontal="center"/>
    </xf>
    <xf numFmtId="0" fontId="23" fillId="7" borderId="0" xfId="0" applyFont="1" applyFill="1" applyAlignment="1">
      <alignment horizontal="center"/>
    </xf>
    <xf numFmtId="0" fontId="22" fillId="0" borderId="0" xfId="0" applyFont="1" applyFill="1"/>
  </cellXfs>
  <cellStyles count="1">
    <cellStyle name="Normale" xfId="0" builtinId="0"/>
  </cellStyles>
  <dxfs count="3"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CC66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2"/>
  <c:chart>
    <c:plotArea>
      <c:layout>
        <c:manualLayout>
          <c:layoutTarget val="inner"/>
          <c:xMode val="edge"/>
          <c:yMode val="edge"/>
          <c:x val="0.12564134024774701"/>
          <c:y val="8.2508516748261998E-2"/>
          <c:w val="0.70000175280888333"/>
          <c:h val="0.83828653016234156"/>
        </c:manualLayout>
      </c:layout>
      <c:barChart>
        <c:barDir val="col"/>
        <c:grouping val="clustered"/>
        <c:ser>
          <c:idx val="0"/>
          <c:order val="0"/>
          <c:tx>
            <c:strRef>
              <c:f>FANTATOUR!$A$2</c:f>
              <c:strCache>
                <c:ptCount val="1"/>
                <c:pt idx="0">
                  <c:v>IASCHI</c:v>
                </c:pt>
              </c:strCache>
            </c:strRef>
          </c:tx>
          <c:spPr>
            <a:solidFill>
              <a:srgbClr val="00B050"/>
            </a:solidFill>
          </c:spPr>
          <c:dLbls>
            <c:spPr>
              <a:noFill/>
              <a:ln w="25400">
                <a:noFill/>
              </a:ln>
            </c:spPr>
            <c:showVal val="1"/>
          </c:dLbls>
          <c:cat>
            <c:strRef>
              <c:f>FANTATOUR!$B$2:$V$2</c:f>
              <c:strCache>
                <c:ptCount val="21"/>
                <c:pt idx="0">
                  <c:v>P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strCache>
            </c:strRef>
          </c:cat>
          <c:val>
            <c:numRef>
              <c:f>FANTATOUR!$W$12</c:f>
              <c:numCache>
                <c:formatCode>General</c:formatCode>
                <c:ptCount val="1"/>
                <c:pt idx="0">
                  <c:v>911</c:v>
                </c:pt>
              </c:numCache>
            </c:numRef>
          </c:val>
        </c:ser>
        <c:ser>
          <c:idx val="1"/>
          <c:order val="1"/>
          <c:tx>
            <c:strRef>
              <c:f>FANTATOUR!$A$14</c:f>
              <c:strCache>
                <c:ptCount val="1"/>
                <c:pt idx="0">
                  <c:v>BONAZ</c:v>
                </c:pt>
              </c:strCache>
            </c:strRef>
          </c:tx>
          <c:spPr>
            <a:solidFill>
              <a:srgbClr val="FFFF00"/>
            </a:solidFill>
          </c:spPr>
          <c:dLbls>
            <c:spPr>
              <a:noFill/>
              <a:ln w="25400">
                <a:noFill/>
              </a:ln>
            </c:spPr>
            <c:showVal val="1"/>
          </c:dLbls>
          <c:cat>
            <c:strRef>
              <c:f>FANTATOUR!$B$2:$V$2</c:f>
              <c:strCache>
                <c:ptCount val="21"/>
                <c:pt idx="0">
                  <c:v>P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strCache>
            </c:strRef>
          </c:cat>
          <c:val>
            <c:numRef>
              <c:f>FANTATOUR!$W$24</c:f>
              <c:numCache>
                <c:formatCode>General</c:formatCode>
                <c:ptCount val="1"/>
                <c:pt idx="0">
                  <c:v>1313</c:v>
                </c:pt>
              </c:numCache>
            </c:numRef>
          </c:val>
        </c:ser>
        <c:ser>
          <c:idx val="2"/>
          <c:order val="2"/>
          <c:tx>
            <c:strRef>
              <c:f>FANTATOUR!$A$26</c:f>
              <c:strCache>
                <c:ptCount val="1"/>
                <c:pt idx="0">
                  <c:v>KALLE</c:v>
                </c:pt>
              </c:strCache>
            </c:strRef>
          </c:tx>
          <c:spPr>
            <a:solidFill>
              <a:srgbClr val="FF0000"/>
            </a:solidFill>
          </c:spPr>
          <c:dLbls>
            <c:spPr>
              <a:noFill/>
              <a:ln w="25400">
                <a:noFill/>
              </a:ln>
            </c:spPr>
            <c:showVal val="1"/>
          </c:dLbls>
          <c:cat>
            <c:strRef>
              <c:f>FANTATOUR!$B$2:$V$2</c:f>
              <c:strCache>
                <c:ptCount val="21"/>
                <c:pt idx="0">
                  <c:v>P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strCache>
            </c:strRef>
          </c:cat>
          <c:val>
            <c:numRef>
              <c:f>FANTATOUR!$W$36</c:f>
              <c:numCache>
                <c:formatCode>General</c:formatCode>
                <c:ptCount val="1"/>
                <c:pt idx="0">
                  <c:v>623</c:v>
                </c:pt>
              </c:numCache>
            </c:numRef>
          </c:val>
        </c:ser>
        <c:ser>
          <c:idx val="3"/>
          <c:order val="3"/>
          <c:tx>
            <c:strRef>
              <c:f>FANTATOUR!$A$38</c:f>
              <c:strCache>
                <c:ptCount val="1"/>
                <c:pt idx="0">
                  <c:v>VENE</c:v>
                </c:pt>
              </c:strCache>
            </c:strRef>
          </c:tx>
          <c:spPr>
            <a:solidFill>
              <a:schemeClr val="bg1"/>
            </a:solidFill>
          </c:spPr>
          <c:dLbls>
            <c:spPr>
              <a:noFill/>
              <a:ln w="25400">
                <a:noFill/>
              </a:ln>
            </c:spPr>
            <c:showVal val="1"/>
          </c:dLbls>
          <c:cat>
            <c:strRef>
              <c:f>FANTATOUR!$B$2:$V$2</c:f>
              <c:strCache>
                <c:ptCount val="21"/>
                <c:pt idx="0">
                  <c:v>P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strCache>
            </c:strRef>
          </c:cat>
          <c:val>
            <c:numRef>
              <c:f>FANTATOUR!$W$48</c:f>
              <c:numCache>
                <c:formatCode>General</c:formatCode>
                <c:ptCount val="1"/>
                <c:pt idx="0">
                  <c:v>376</c:v>
                </c:pt>
              </c:numCache>
            </c:numRef>
          </c:val>
        </c:ser>
        <c:ser>
          <c:idx val="4"/>
          <c:order val="4"/>
          <c:tx>
            <c:strRef>
              <c:f>FANTATOUR!$A$50</c:f>
              <c:strCache>
                <c:ptCount val="1"/>
                <c:pt idx="0">
                  <c:v>MAFFO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dLbls>
            <c:spPr>
              <a:noFill/>
              <a:ln w="25400">
                <a:noFill/>
              </a:ln>
            </c:spPr>
            <c:showVal val="1"/>
          </c:dLbls>
          <c:cat>
            <c:strRef>
              <c:f>FANTATOUR!$B$2:$V$2</c:f>
              <c:strCache>
                <c:ptCount val="21"/>
                <c:pt idx="0">
                  <c:v>P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strCache>
            </c:strRef>
          </c:cat>
          <c:val>
            <c:numRef>
              <c:f>FANTATOUR!$W$60</c:f>
              <c:numCache>
                <c:formatCode>General</c:formatCode>
                <c:ptCount val="1"/>
                <c:pt idx="0">
                  <c:v>76</c:v>
                </c:pt>
              </c:numCache>
            </c:numRef>
          </c:val>
        </c:ser>
        <c:axId val="76722944"/>
        <c:axId val="76724480"/>
      </c:barChart>
      <c:catAx>
        <c:axId val="76722944"/>
        <c:scaling>
          <c:orientation val="minMax"/>
        </c:scaling>
        <c:delete val="1"/>
        <c:axPos val="b"/>
        <c:numFmt formatCode="General" sourceLinked="1"/>
        <c:tickLblPos val="none"/>
        <c:crossAx val="76724480"/>
        <c:crosses val="autoZero"/>
        <c:auto val="1"/>
        <c:lblAlgn val="ctr"/>
        <c:lblOffset val="100"/>
      </c:catAx>
      <c:valAx>
        <c:axId val="76724480"/>
        <c:scaling>
          <c:orientation val="minMax"/>
        </c:scaling>
        <c:axPos val="l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76722944"/>
        <c:crosses val="autoZero"/>
        <c:crossBetween val="between"/>
      </c:valAx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5384839165043458"/>
          <c:y val="0.25255694436796838"/>
          <c:w val="0.12564138071698094"/>
          <c:h val="0.52149955031844863"/>
        </c:manualLayout>
      </c:layout>
      <c:spPr>
        <a:solidFill>
          <a:srgbClr val="FFFF99"/>
        </a:solidFill>
      </c:spPr>
    </c:legend>
    <c:plotVisOnly val="1"/>
    <c:dispBlanksAs val="gap"/>
  </c:chart>
  <c:spPr>
    <a:solidFill>
      <a:srgbClr val="FFFF00"/>
    </a:solidFill>
    <a:ln>
      <a:solidFill>
        <a:srgbClr val="FFC000"/>
      </a:solidFill>
    </a:ln>
  </c:spPr>
  <c:txPr>
    <a:bodyPr/>
    <a:lstStyle/>
    <a:p>
      <a:pPr>
        <a:defRPr sz="1100" b="1">
          <a:solidFill>
            <a:sysClr val="windowText" lastClr="000000"/>
          </a:solidFill>
        </a:defRPr>
      </a:pPr>
      <a:endParaRPr lang="it-IT"/>
    </a:p>
  </c:txPr>
  <c:printSettings>
    <c:headerFooter alignWithMargins="0"/>
    <c:pageMargins b="1" l="0.75000000000000366" r="0.75000000000000366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2"/>
  <c:chart>
    <c:plotArea>
      <c:layout>
        <c:manualLayout>
          <c:layoutTarget val="inner"/>
          <c:xMode val="edge"/>
          <c:yMode val="edge"/>
          <c:x val="7.6549255622802057E-2"/>
          <c:y val="6.5146683419882792E-2"/>
          <c:w val="0.80801992046291227"/>
          <c:h val="0.75895886184163441"/>
        </c:manualLayout>
      </c:layout>
      <c:lineChart>
        <c:grouping val="standard"/>
        <c:ser>
          <c:idx val="0"/>
          <c:order val="0"/>
          <c:tx>
            <c:strRef>
              <c:f>FANTATOUR!$A$2</c:f>
              <c:strCache>
                <c:ptCount val="1"/>
                <c:pt idx="0">
                  <c:v>IASCHI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strRef>
              <c:f>FANTATOUR!$B$2:$V$2</c:f>
              <c:strCache>
                <c:ptCount val="21"/>
                <c:pt idx="0">
                  <c:v>P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strCache>
            </c:strRef>
          </c:cat>
          <c:val>
            <c:numRef>
              <c:f>FANTATOUR!$B$13:$V$13</c:f>
              <c:numCache>
                <c:formatCode>General</c:formatCode>
                <c:ptCount val="21"/>
                <c:pt idx="0">
                  <c:v>64</c:v>
                </c:pt>
                <c:pt idx="1">
                  <c:v>79</c:v>
                </c:pt>
                <c:pt idx="2">
                  <c:v>93</c:v>
                </c:pt>
                <c:pt idx="3">
                  <c:v>162</c:v>
                </c:pt>
                <c:pt idx="4">
                  <c:v>204</c:v>
                </c:pt>
                <c:pt idx="5">
                  <c:v>261</c:v>
                </c:pt>
                <c:pt idx="6">
                  <c:v>324</c:v>
                </c:pt>
                <c:pt idx="7">
                  <c:v>351</c:v>
                </c:pt>
                <c:pt idx="8">
                  <c:v>425</c:v>
                </c:pt>
                <c:pt idx="9">
                  <c:v>475</c:v>
                </c:pt>
                <c:pt idx="10">
                  <c:v>490</c:v>
                </c:pt>
                <c:pt idx="11">
                  <c:v>530</c:v>
                </c:pt>
                <c:pt idx="12">
                  <c:v>551</c:v>
                </c:pt>
                <c:pt idx="13">
                  <c:v>571</c:v>
                </c:pt>
                <c:pt idx="14">
                  <c:v>607</c:v>
                </c:pt>
                <c:pt idx="15">
                  <c:v>621</c:v>
                </c:pt>
                <c:pt idx="16">
                  <c:v>650</c:v>
                </c:pt>
                <c:pt idx="17">
                  <c:v>693</c:v>
                </c:pt>
                <c:pt idx="18">
                  <c:v>718</c:v>
                </c:pt>
                <c:pt idx="19">
                  <c:v>756</c:v>
                </c:pt>
                <c:pt idx="20">
                  <c:v>911</c:v>
                </c:pt>
              </c:numCache>
            </c:numRef>
          </c:val>
        </c:ser>
        <c:ser>
          <c:idx val="1"/>
          <c:order val="1"/>
          <c:tx>
            <c:strRef>
              <c:f>FANTATOUR!$A$14</c:f>
              <c:strCache>
                <c:ptCount val="1"/>
                <c:pt idx="0">
                  <c:v>BONAZ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val>
            <c:numRef>
              <c:f>FANTATOUR!$B$25:$V$25</c:f>
              <c:numCache>
                <c:formatCode>General</c:formatCode>
                <c:ptCount val="21"/>
                <c:pt idx="0">
                  <c:v>50</c:v>
                </c:pt>
                <c:pt idx="1">
                  <c:v>105</c:v>
                </c:pt>
                <c:pt idx="2">
                  <c:v>131</c:v>
                </c:pt>
                <c:pt idx="3">
                  <c:v>127</c:v>
                </c:pt>
                <c:pt idx="4">
                  <c:v>165</c:v>
                </c:pt>
                <c:pt idx="5">
                  <c:v>207</c:v>
                </c:pt>
                <c:pt idx="6">
                  <c:v>257</c:v>
                </c:pt>
                <c:pt idx="7">
                  <c:v>272</c:v>
                </c:pt>
                <c:pt idx="8">
                  <c:v>339</c:v>
                </c:pt>
                <c:pt idx="9">
                  <c:v>391</c:v>
                </c:pt>
                <c:pt idx="10">
                  <c:v>436</c:v>
                </c:pt>
                <c:pt idx="11">
                  <c:v>517</c:v>
                </c:pt>
                <c:pt idx="12">
                  <c:v>582</c:v>
                </c:pt>
                <c:pt idx="13">
                  <c:v>657</c:v>
                </c:pt>
                <c:pt idx="14">
                  <c:v>715</c:v>
                </c:pt>
                <c:pt idx="15">
                  <c:v>772</c:v>
                </c:pt>
                <c:pt idx="16">
                  <c:v>805</c:v>
                </c:pt>
                <c:pt idx="17">
                  <c:v>873</c:v>
                </c:pt>
                <c:pt idx="18">
                  <c:v>951</c:v>
                </c:pt>
                <c:pt idx="19">
                  <c:v>1008</c:v>
                </c:pt>
                <c:pt idx="20">
                  <c:v>1313</c:v>
                </c:pt>
              </c:numCache>
            </c:numRef>
          </c:val>
        </c:ser>
        <c:ser>
          <c:idx val="2"/>
          <c:order val="2"/>
          <c:tx>
            <c:strRef>
              <c:f>FANTATOUR!$A$26</c:f>
              <c:strCache>
                <c:ptCount val="1"/>
                <c:pt idx="0">
                  <c:v>KALLE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val>
            <c:numRef>
              <c:f>FANTATOUR!$B$37:$V$37</c:f>
              <c:numCache>
                <c:formatCode>General</c:formatCode>
                <c:ptCount val="21"/>
                <c:pt idx="0">
                  <c:v>23</c:v>
                </c:pt>
                <c:pt idx="1">
                  <c:v>61</c:v>
                </c:pt>
                <c:pt idx="2">
                  <c:v>84</c:v>
                </c:pt>
                <c:pt idx="3">
                  <c:v>116</c:v>
                </c:pt>
                <c:pt idx="4">
                  <c:v>164</c:v>
                </c:pt>
                <c:pt idx="5">
                  <c:v>201</c:v>
                </c:pt>
                <c:pt idx="6">
                  <c:v>241</c:v>
                </c:pt>
                <c:pt idx="7">
                  <c:v>254</c:v>
                </c:pt>
                <c:pt idx="8">
                  <c:v>287</c:v>
                </c:pt>
                <c:pt idx="9">
                  <c:v>313</c:v>
                </c:pt>
                <c:pt idx="10">
                  <c:v>340</c:v>
                </c:pt>
                <c:pt idx="11">
                  <c:v>366</c:v>
                </c:pt>
                <c:pt idx="12">
                  <c:v>403</c:v>
                </c:pt>
                <c:pt idx="13">
                  <c:v>424</c:v>
                </c:pt>
                <c:pt idx="14">
                  <c:v>451</c:v>
                </c:pt>
                <c:pt idx="15">
                  <c:v>475</c:v>
                </c:pt>
                <c:pt idx="16">
                  <c:v>511</c:v>
                </c:pt>
                <c:pt idx="17">
                  <c:v>546</c:v>
                </c:pt>
                <c:pt idx="18">
                  <c:v>578</c:v>
                </c:pt>
                <c:pt idx="19">
                  <c:v>589</c:v>
                </c:pt>
                <c:pt idx="20">
                  <c:v>623</c:v>
                </c:pt>
              </c:numCache>
            </c:numRef>
          </c:val>
        </c:ser>
        <c:ser>
          <c:idx val="3"/>
          <c:order val="3"/>
          <c:tx>
            <c:strRef>
              <c:f>FANTATOUR!$A$38</c:f>
              <c:strCache>
                <c:ptCount val="1"/>
                <c:pt idx="0">
                  <c:v>VENE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marker>
            <c:symbol val="none"/>
          </c:marker>
          <c:val>
            <c:numRef>
              <c:f>FANTATOUR!$B$49:$V$49</c:f>
              <c:numCache>
                <c:formatCode>General</c:formatCode>
                <c:ptCount val="21"/>
                <c:pt idx="0">
                  <c:v>13</c:v>
                </c:pt>
                <c:pt idx="1">
                  <c:v>16</c:v>
                </c:pt>
                <c:pt idx="2">
                  <c:v>19</c:v>
                </c:pt>
                <c:pt idx="3">
                  <c:v>38</c:v>
                </c:pt>
                <c:pt idx="4">
                  <c:v>54</c:v>
                </c:pt>
                <c:pt idx="5">
                  <c:v>70</c:v>
                </c:pt>
                <c:pt idx="6">
                  <c:v>78</c:v>
                </c:pt>
                <c:pt idx="7">
                  <c:v>95</c:v>
                </c:pt>
                <c:pt idx="8">
                  <c:v>113</c:v>
                </c:pt>
                <c:pt idx="9">
                  <c:v>137</c:v>
                </c:pt>
                <c:pt idx="10">
                  <c:v>137</c:v>
                </c:pt>
                <c:pt idx="11">
                  <c:v>141</c:v>
                </c:pt>
                <c:pt idx="12">
                  <c:v>167</c:v>
                </c:pt>
                <c:pt idx="13">
                  <c:v>206</c:v>
                </c:pt>
                <c:pt idx="14">
                  <c:v>237</c:v>
                </c:pt>
                <c:pt idx="15">
                  <c:v>279</c:v>
                </c:pt>
                <c:pt idx="16">
                  <c:v>284</c:v>
                </c:pt>
                <c:pt idx="17">
                  <c:v>299</c:v>
                </c:pt>
                <c:pt idx="18">
                  <c:v>314</c:v>
                </c:pt>
                <c:pt idx="19">
                  <c:v>336</c:v>
                </c:pt>
                <c:pt idx="20">
                  <c:v>376</c:v>
                </c:pt>
              </c:numCache>
            </c:numRef>
          </c:val>
        </c:ser>
        <c:ser>
          <c:idx val="4"/>
          <c:order val="4"/>
          <c:tx>
            <c:strRef>
              <c:f>FANTATOUR!$A$50</c:f>
              <c:strCache>
                <c:ptCount val="1"/>
                <c:pt idx="0">
                  <c:v>MAFFO</c:v>
                </c:pt>
              </c:strCache>
            </c:strRef>
          </c:tx>
          <c:spPr>
            <a:ln>
              <a:solidFill>
                <a:schemeClr val="accent4">
                  <a:lumMod val="60000"/>
                  <a:lumOff val="40000"/>
                </a:schemeClr>
              </a:solidFill>
            </a:ln>
          </c:spPr>
          <c:marker>
            <c:symbol val="none"/>
          </c:marker>
          <c:val>
            <c:numRef>
              <c:f>FANTATOUR!$B$61:$V$61</c:f>
              <c:numCache>
                <c:formatCode>General</c:formatCode>
                <c:ptCount val="21"/>
                <c:pt idx="0">
                  <c:v>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18</c:v>
                </c:pt>
                <c:pt idx="5">
                  <c:v>28</c:v>
                </c:pt>
                <c:pt idx="6">
                  <c:v>28</c:v>
                </c:pt>
                <c:pt idx="7">
                  <c:v>28</c:v>
                </c:pt>
                <c:pt idx="8">
                  <c:v>28</c:v>
                </c:pt>
                <c:pt idx="9">
                  <c:v>32</c:v>
                </c:pt>
                <c:pt idx="10">
                  <c:v>32</c:v>
                </c:pt>
                <c:pt idx="11">
                  <c:v>42</c:v>
                </c:pt>
                <c:pt idx="12">
                  <c:v>32</c:v>
                </c:pt>
                <c:pt idx="13">
                  <c:v>32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58</c:v>
                </c:pt>
                <c:pt idx="18">
                  <c:v>58</c:v>
                </c:pt>
                <c:pt idx="19">
                  <c:v>70</c:v>
                </c:pt>
                <c:pt idx="20">
                  <c:v>76</c:v>
                </c:pt>
              </c:numCache>
            </c:numRef>
          </c:val>
        </c:ser>
        <c:marker val="1"/>
        <c:axId val="89930368"/>
        <c:axId val="89956736"/>
      </c:lineChart>
      <c:catAx>
        <c:axId val="89930368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89956736"/>
        <c:crosses val="autoZero"/>
        <c:auto val="1"/>
        <c:lblAlgn val="ctr"/>
        <c:lblOffset val="100"/>
        <c:tickLblSkip val="1"/>
        <c:tickMarkSkip val="1"/>
      </c:catAx>
      <c:valAx>
        <c:axId val="89956736"/>
        <c:scaling>
          <c:orientation val="minMax"/>
        </c:scaling>
        <c:axPos val="l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89930368"/>
        <c:crosses val="autoZero"/>
        <c:crossBetween val="between"/>
      </c:valAx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9428972694202657"/>
          <c:y val="0.21498399087548781"/>
          <c:w val="8.8172514619882958E-2"/>
          <c:h val="0.53429415563892224"/>
        </c:manualLayout>
      </c:layout>
      <c:spPr>
        <a:solidFill>
          <a:srgbClr val="FFFF99"/>
        </a:solidFill>
      </c:spPr>
    </c:legend>
    <c:plotVisOnly val="1"/>
    <c:dispBlanksAs val="gap"/>
  </c:chart>
  <c:spPr>
    <a:solidFill>
      <a:srgbClr val="FFFF00"/>
    </a:solidFill>
    <a:ln w="12700">
      <a:solidFill>
        <a:srgbClr val="FFC000"/>
      </a:solidFill>
    </a:ln>
  </c:spPr>
  <c:txPr>
    <a:bodyPr/>
    <a:lstStyle/>
    <a:p>
      <a:pPr>
        <a:defRPr sz="1200" b="1">
          <a:solidFill>
            <a:sysClr val="windowText" lastClr="000000"/>
          </a:solidFill>
        </a:defRPr>
      </a:pPr>
      <a:endParaRPr lang="it-IT"/>
    </a:p>
  </c:txPr>
  <c:printSettings>
    <c:headerFooter alignWithMargins="0"/>
    <c:pageMargins b="1" l="0.75000000000000366" r="0.7500000000000036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64</xdr:row>
      <xdr:rowOff>19050</xdr:rowOff>
    </xdr:from>
    <xdr:to>
      <xdr:col>24</xdr:col>
      <xdr:colOff>523875</xdr:colOff>
      <xdr:row>80</xdr:row>
      <xdr:rowOff>152400</xdr:rowOff>
    </xdr:to>
    <xdr:graphicFrame macro="">
      <xdr:nvGraphicFramePr>
        <xdr:cNvPr id="102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352425</xdr:colOff>
      <xdr:row>82</xdr:row>
      <xdr:rowOff>104775</xdr:rowOff>
    </xdr:from>
    <xdr:to>
      <xdr:col>28</xdr:col>
      <xdr:colOff>495300</xdr:colOff>
      <xdr:row>105</xdr:row>
      <xdr:rowOff>19050</xdr:rowOff>
    </xdr:to>
    <xdr:graphicFrame macro="">
      <xdr:nvGraphicFramePr>
        <xdr:cNvPr id="1026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81"/>
  <sheetViews>
    <sheetView tabSelected="1" zoomScaleNormal="100" workbookViewId="0">
      <selection activeCell="N5" sqref="N5"/>
    </sheetView>
  </sheetViews>
  <sheetFormatPr defaultRowHeight="12.75"/>
  <cols>
    <col min="1" max="1" width="21.42578125" bestFit="1" customWidth="1"/>
    <col min="2" max="2" width="5.42578125" bestFit="1" customWidth="1"/>
    <col min="3" max="20" width="3.7109375" customWidth="1"/>
    <col min="21" max="22" width="5" bestFit="1" customWidth="1"/>
    <col min="23" max="23" width="4.85546875" customWidth="1"/>
    <col min="24" max="24" width="0.42578125" customWidth="1"/>
    <col min="25" max="25" width="12.140625" customWidth="1"/>
    <col min="26" max="26" width="5.7109375" customWidth="1"/>
    <col min="27" max="28" width="4.7109375" customWidth="1"/>
  </cols>
  <sheetData>
    <row r="1" spans="1:26">
      <c r="A1" s="8"/>
      <c r="B1" s="4"/>
      <c r="C1" s="1"/>
      <c r="D1" s="1"/>
      <c r="E1" s="1"/>
      <c r="F1" s="1"/>
      <c r="G1" s="1"/>
      <c r="H1" s="23" t="s">
        <v>86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3" t="s">
        <v>5</v>
      </c>
      <c r="Z1" s="3"/>
    </row>
    <row r="2" spans="1:26">
      <c r="A2" s="17" t="s">
        <v>100</v>
      </c>
      <c r="B2" s="38" t="s">
        <v>134</v>
      </c>
      <c r="C2" s="20">
        <v>1</v>
      </c>
      <c r="D2" s="20">
        <v>2</v>
      </c>
      <c r="E2" s="38">
        <v>3</v>
      </c>
      <c r="F2" s="20">
        <v>4</v>
      </c>
      <c r="G2" s="38">
        <v>5</v>
      </c>
      <c r="H2" s="38">
        <v>6</v>
      </c>
      <c r="I2" s="38">
        <v>7</v>
      </c>
      <c r="J2" s="38">
        <v>8</v>
      </c>
      <c r="K2" s="20">
        <v>9</v>
      </c>
      <c r="L2" s="20">
        <v>10</v>
      </c>
      <c r="M2" s="20">
        <v>11</v>
      </c>
      <c r="N2" s="20">
        <v>12</v>
      </c>
      <c r="O2" s="20">
        <v>13</v>
      </c>
      <c r="P2" s="20">
        <v>14</v>
      </c>
      <c r="Q2" s="20">
        <v>15</v>
      </c>
      <c r="R2" s="20">
        <v>16</v>
      </c>
      <c r="S2" s="20">
        <v>17</v>
      </c>
      <c r="T2" s="20">
        <v>18</v>
      </c>
      <c r="U2" s="20">
        <v>19</v>
      </c>
      <c r="V2" s="20">
        <v>20</v>
      </c>
      <c r="W2" s="20" t="s">
        <v>2</v>
      </c>
      <c r="X2" s="4"/>
      <c r="Y2" s="3">
        <v>1</v>
      </c>
      <c r="Z2" s="5">
        <v>25</v>
      </c>
    </row>
    <row r="3" spans="1:26">
      <c r="A3" s="42" t="s">
        <v>137</v>
      </c>
      <c r="B3" s="20"/>
      <c r="C3" s="20"/>
      <c r="D3" s="20"/>
      <c r="E3" s="20">
        <f>12+6</f>
        <v>18</v>
      </c>
      <c r="F3" s="20">
        <v>6</v>
      </c>
      <c r="G3" s="20">
        <v>6</v>
      </c>
      <c r="H3" s="20">
        <v>6</v>
      </c>
      <c r="I3" s="41">
        <v>15</v>
      </c>
      <c r="J3" s="47">
        <f>25+10</f>
        <v>35</v>
      </c>
      <c r="K3" s="39">
        <f>9+25</f>
        <v>34</v>
      </c>
      <c r="L3" s="39">
        <v>15</v>
      </c>
      <c r="M3" s="39">
        <v>15</v>
      </c>
      <c r="N3" s="39">
        <f>12+15</f>
        <v>27</v>
      </c>
      <c r="O3" s="39">
        <v>15</v>
      </c>
      <c r="P3" s="39">
        <f>14+15</f>
        <v>29</v>
      </c>
      <c r="Q3" s="41">
        <f>4+10</f>
        <v>14</v>
      </c>
      <c r="R3" s="41">
        <v>10</v>
      </c>
      <c r="S3" s="47">
        <f>25+10</f>
        <v>35</v>
      </c>
      <c r="T3" s="41">
        <v>10</v>
      </c>
      <c r="U3" s="41">
        <v>10</v>
      </c>
      <c r="V3" s="41">
        <v>10</v>
      </c>
      <c r="W3" s="41">
        <f>SUM(B3:V3)+60+10+50</f>
        <v>430</v>
      </c>
      <c r="X3" s="4"/>
      <c r="Y3" s="3">
        <v>2</v>
      </c>
      <c r="Z3" s="3">
        <v>20</v>
      </c>
    </row>
    <row r="4" spans="1:26">
      <c r="A4" s="43" t="s">
        <v>135</v>
      </c>
      <c r="B4" s="35">
        <f>25+25</f>
        <v>50</v>
      </c>
      <c r="C4" s="39">
        <v>15</v>
      </c>
      <c r="D4" s="20">
        <f>4+10</f>
        <v>14</v>
      </c>
      <c r="E4" s="39">
        <f>10+15</f>
        <v>25</v>
      </c>
      <c r="F4" s="39">
        <v>15</v>
      </c>
      <c r="G4" s="39">
        <v>15</v>
      </c>
      <c r="H4" s="39">
        <v>15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46">
        <f>25</f>
        <v>25</v>
      </c>
      <c r="V4" s="20"/>
      <c r="W4" s="20">
        <f t="shared" ref="W3:W11" si="0">SUM(B4:V4)</f>
        <v>174</v>
      </c>
      <c r="X4" s="4"/>
      <c r="Y4" s="3">
        <v>3</v>
      </c>
      <c r="Z4" s="3">
        <v>16</v>
      </c>
    </row>
    <row r="5" spans="1:26">
      <c r="A5" s="3" t="s">
        <v>95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>
        <f>SUM(B5:V5)</f>
        <v>0</v>
      </c>
      <c r="X5" s="4"/>
      <c r="Y5" s="3">
        <v>4</v>
      </c>
      <c r="Z5" s="3">
        <v>14</v>
      </c>
    </row>
    <row r="6" spans="1:26">
      <c r="A6" s="45" t="s">
        <v>94</v>
      </c>
      <c r="B6" s="20">
        <f>9+3</f>
        <v>12</v>
      </c>
      <c r="C6" s="20"/>
      <c r="D6" s="20"/>
      <c r="E6" s="20"/>
      <c r="F6" s="20"/>
      <c r="G6" s="20">
        <f>6</f>
        <v>6</v>
      </c>
      <c r="H6" s="20">
        <f>20</f>
        <v>20</v>
      </c>
      <c r="I6" s="20"/>
      <c r="J6" s="20"/>
      <c r="K6" s="20"/>
      <c r="L6" s="20"/>
      <c r="M6" s="20">
        <f>16</f>
        <v>16</v>
      </c>
      <c r="N6" s="44">
        <f>-10</f>
        <v>-10</v>
      </c>
      <c r="O6" s="44"/>
      <c r="P6" s="44"/>
      <c r="Q6" s="44"/>
      <c r="R6" s="44"/>
      <c r="S6" s="44"/>
      <c r="T6" s="44"/>
      <c r="U6" s="44"/>
      <c r="V6" s="44"/>
      <c r="W6" s="44">
        <f>SUM(B6:V6)</f>
        <v>44</v>
      </c>
      <c r="X6" s="4"/>
      <c r="Y6" s="3">
        <v>5</v>
      </c>
      <c r="Z6" s="3">
        <v>12</v>
      </c>
    </row>
    <row r="7" spans="1:26">
      <c r="A7" s="34" t="s">
        <v>96</v>
      </c>
      <c r="B7" s="20">
        <f>2</f>
        <v>2</v>
      </c>
      <c r="C7" s="20"/>
      <c r="D7" s="20"/>
      <c r="E7" s="20"/>
      <c r="F7" s="20"/>
      <c r="G7" s="20"/>
      <c r="H7" s="20"/>
      <c r="I7" s="20"/>
      <c r="J7" s="20">
        <f>4</f>
        <v>4</v>
      </c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>
        <f t="shared" si="0"/>
        <v>6</v>
      </c>
      <c r="X7" s="4"/>
      <c r="Y7" s="3">
        <v>6</v>
      </c>
      <c r="Z7" s="3">
        <v>10</v>
      </c>
    </row>
    <row r="8" spans="1:26">
      <c r="A8" s="43" t="s">
        <v>136</v>
      </c>
      <c r="B8" s="20"/>
      <c r="C8" s="20"/>
      <c r="D8" s="20"/>
      <c r="E8" s="20">
        <f>16+10</f>
        <v>26</v>
      </c>
      <c r="F8" s="20">
        <v>10</v>
      </c>
      <c r="G8" s="20">
        <v>10</v>
      </c>
      <c r="H8" s="20">
        <v>10</v>
      </c>
      <c r="I8" s="20">
        <f>2+10</f>
        <v>12</v>
      </c>
      <c r="J8" s="39">
        <f>10+25</f>
        <v>35</v>
      </c>
      <c r="K8" s="20"/>
      <c r="L8" s="20"/>
      <c r="M8" s="20"/>
      <c r="N8" s="20">
        <f>1</f>
        <v>1</v>
      </c>
      <c r="O8" s="20"/>
      <c r="P8" s="20"/>
      <c r="Q8" s="20"/>
      <c r="R8" s="20"/>
      <c r="S8" s="20"/>
      <c r="T8" s="20"/>
      <c r="U8" s="20"/>
      <c r="V8" s="20"/>
      <c r="W8" s="20">
        <f t="shared" si="0"/>
        <v>104</v>
      </c>
      <c r="X8" s="4"/>
      <c r="Y8" s="3">
        <v>7</v>
      </c>
      <c r="Z8" s="3">
        <v>9</v>
      </c>
    </row>
    <row r="9" spans="1:26">
      <c r="A9" s="34" t="s">
        <v>97</v>
      </c>
      <c r="B9" s="20"/>
      <c r="C9" s="20"/>
      <c r="D9" s="20"/>
      <c r="E9" s="20"/>
      <c r="F9" s="20">
        <f>5</f>
        <v>5</v>
      </c>
      <c r="G9" s="20">
        <f>20</f>
        <v>20</v>
      </c>
      <c r="H9" s="20">
        <f>12</f>
        <v>12</v>
      </c>
      <c r="I9" s="20"/>
      <c r="J9" s="20"/>
      <c r="K9" s="20"/>
      <c r="L9" s="20"/>
      <c r="M9" s="20">
        <f>6</f>
        <v>6</v>
      </c>
      <c r="N9" s="20"/>
      <c r="O9" s="20">
        <f>5</f>
        <v>5</v>
      </c>
      <c r="P9" s="20"/>
      <c r="Q9" s="20"/>
      <c r="R9" s="20">
        <f>2</f>
        <v>2</v>
      </c>
      <c r="S9" s="20"/>
      <c r="T9" s="20"/>
      <c r="U9" s="20"/>
      <c r="V9" s="20">
        <f>10</f>
        <v>10</v>
      </c>
      <c r="W9" s="20">
        <f>SUM(B9:V9)</f>
        <v>60</v>
      </c>
      <c r="X9" s="4"/>
      <c r="Y9" s="3">
        <v>8</v>
      </c>
      <c r="Z9" s="3">
        <v>8</v>
      </c>
    </row>
    <row r="10" spans="1:26">
      <c r="A10" s="34" t="s">
        <v>98</v>
      </c>
      <c r="B10" s="20"/>
      <c r="C10" s="20"/>
      <c r="D10" s="20"/>
      <c r="E10" s="20"/>
      <c r="F10" s="20">
        <f>6</f>
        <v>6</v>
      </c>
      <c r="G10" s="20"/>
      <c r="H10" s="20"/>
      <c r="I10" s="20"/>
      <c r="J10" s="20"/>
      <c r="K10" s="20"/>
      <c r="L10" s="20"/>
      <c r="M10" s="20">
        <f>3</f>
        <v>3</v>
      </c>
      <c r="N10" s="20"/>
      <c r="O10" s="20"/>
      <c r="P10" s="20"/>
      <c r="Q10" s="20"/>
      <c r="R10" s="20"/>
      <c r="S10" s="20"/>
      <c r="T10" s="20">
        <f>12</f>
        <v>12</v>
      </c>
      <c r="U10" s="20"/>
      <c r="V10" s="20">
        <f>12</f>
        <v>12</v>
      </c>
      <c r="W10" s="20">
        <f t="shared" si="0"/>
        <v>33</v>
      </c>
      <c r="X10" s="4"/>
      <c r="Y10" s="3">
        <v>9</v>
      </c>
      <c r="Z10" s="3">
        <v>7</v>
      </c>
    </row>
    <row r="11" spans="1:26">
      <c r="A11" s="34" t="s">
        <v>99</v>
      </c>
      <c r="B11" s="20"/>
      <c r="C11" s="20"/>
      <c r="D11" s="20"/>
      <c r="E11" s="20"/>
      <c r="F11" s="20"/>
      <c r="G11" s="20"/>
      <c r="H11" s="20"/>
      <c r="I11" s="20"/>
      <c r="J11" s="20"/>
      <c r="K11" s="20">
        <f>16</f>
        <v>16</v>
      </c>
      <c r="L11" s="20"/>
      <c r="M11" s="20"/>
      <c r="N11" s="20">
        <f>3</f>
        <v>3</v>
      </c>
      <c r="O11" s="20"/>
      <c r="P11" s="20">
        <f>7</f>
        <v>7</v>
      </c>
      <c r="Q11" s="20"/>
      <c r="R11" s="20">
        <f>14+3</f>
        <v>17</v>
      </c>
      <c r="S11" s="20">
        <f>5+3</f>
        <v>8</v>
      </c>
      <c r="T11" s="20">
        <v>3</v>
      </c>
      <c r="U11" s="20">
        <v>3</v>
      </c>
      <c r="V11" s="20">
        <v>3</v>
      </c>
      <c r="W11" s="20">
        <f t="shared" si="0"/>
        <v>60</v>
      </c>
      <c r="X11" s="4"/>
      <c r="Y11" s="3">
        <v>10</v>
      </c>
      <c r="Z11" s="3">
        <v>6</v>
      </c>
    </row>
    <row r="12" spans="1:26">
      <c r="A12" s="2" t="s">
        <v>9</v>
      </c>
      <c r="B12" s="20">
        <f t="shared" ref="B12:O12" si="1">SUM(B3:B11)</f>
        <v>64</v>
      </c>
      <c r="C12" s="20">
        <f t="shared" si="1"/>
        <v>15</v>
      </c>
      <c r="D12" s="20">
        <f t="shared" si="1"/>
        <v>14</v>
      </c>
      <c r="E12" s="20">
        <f t="shared" si="1"/>
        <v>69</v>
      </c>
      <c r="F12" s="20">
        <f t="shared" si="1"/>
        <v>42</v>
      </c>
      <c r="G12" s="20">
        <f t="shared" si="1"/>
        <v>57</v>
      </c>
      <c r="H12" s="20">
        <f t="shared" si="1"/>
        <v>63</v>
      </c>
      <c r="I12" s="20">
        <f t="shared" si="1"/>
        <v>27</v>
      </c>
      <c r="J12" s="20">
        <f t="shared" si="1"/>
        <v>74</v>
      </c>
      <c r="K12" s="20">
        <f t="shared" si="1"/>
        <v>50</v>
      </c>
      <c r="L12" s="20">
        <f t="shared" si="1"/>
        <v>15</v>
      </c>
      <c r="M12" s="20">
        <f t="shared" si="1"/>
        <v>40</v>
      </c>
      <c r="N12" s="20">
        <f t="shared" si="1"/>
        <v>21</v>
      </c>
      <c r="O12" s="20">
        <f t="shared" si="1"/>
        <v>20</v>
      </c>
      <c r="P12" s="20">
        <f t="shared" ref="P12:R12" si="2">SUM(P3:P11)</f>
        <v>36</v>
      </c>
      <c r="Q12" s="20">
        <f t="shared" si="2"/>
        <v>14</v>
      </c>
      <c r="R12" s="20">
        <f t="shared" si="2"/>
        <v>29</v>
      </c>
      <c r="S12" s="20">
        <f>SUM(S3:S11)</f>
        <v>43</v>
      </c>
      <c r="T12" s="20">
        <f t="shared" ref="T12:U12" si="3">SUM(T3:T11)</f>
        <v>25</v>
      </c>
      <c r="U12" s="20">
        <f t="shared" si="3"/>
        <v>38</v>
      </c>
      <c r="V12" s="20">
        <f t="shared" ref="V12" si="4">SUM(V3:V11)</f>
        <v>35</v>
      </c>
      <c r="W12" s="20">
        <f>SUM(W3:W11)</f>
        <v>911</v>
      </c>
      <c r="X12" s="4"/>
      <c r="Y12" s="3">
        <v>11</v>
      </c>
      <c r="Z12" s="3">
        <v>5</v>
      </c>
    </row>
    <row r="13" spans="1:26">
      <c r="A13" s="2" t="s">
        <v>3</v>
      </c>
      <c r="B13" s="20">
        <f>B12</f>
        <v>64</v>
      </c>
      <c r="C13" s="20">
        <f t="shared" ref="C13:V13" si="5">B13+C12</f>
        <v>79</v>
      </c>
      <c r="D13" s="20">
        <f t="shared" si="5"/>
        <v>93</v>
      </c>
      <c r="E13" s="20">
        <f t="shared" si="5"/>
        <v>162</v>
      </c>
      <c r="F13" s="20">
        <f t="shared" si="5"/>
        <v>204</v>
      </c>
      <c r="G13" s="20">
        <f t="shared" si="5"/>
        <v>261</v>
      </c>
      <c r="H13" s="20">
        <f t="shared" si="5"/>
        <v>324</v>
      </c>
      <c r="I13" s="20">
        <f t="shared" si="5"/>
        <v>351</v>
      </c>
      <c r="J13" s="20">
        <f t="shared" si="5"/>
        <v>425</v>
      </c>
      <c r="K13" s="20">
        <f t="shared" si="5"/>
        <v>475</v>
      </c>
      <c r="L13" s="20">
        <f t="shared" si="5"/>
        <v>490</v>
      </c>
      <c r="M13" s="20">
        <f t="shared" si="5"/>
        <v>530</v>
      </c>
      <c r="N13" s="20">
        <f t="shared" si="5"/>
        <v>551</v>
      </c>
      <c r="O13" s="20">
        <f t="shared" si="5"/>
        <v>571</v>
      </c>
      <c r="P13" s="20">
        <f t="shared" si="5"/>
        <v>607</v>
      </c>
      <c r="Q13" s="20">
        <f t="shared" si="5"/>
        <v>621</v>
      </c>
      <c r="R13" s="20">
        <f t="shared" si="5"/>
        <v>650</v>
      </c>
      <c r="S13" s="20">
        <f t="shared" si="5"/>
        <v>693</v>
      </c>
      <c r="T13" s="20">
        <f t="shared" si="5"/>
        <v>718</v>
      </c>
      <c r="U13" s="20">
        <f t="shared" si="5"/>
        <v>756</v>
      </c>
      <c r="V13" s="20">
        <f>W12</f>
        <v>911</v>
      </c>
      <c r="W13" s="20">
        <f>AVERAGE(W3:W11)</f>
        <v>101.22222222222223</v>
      </c>
      <c r="X13" s="4"/>
      <c r="Y13" s="3">
        <v>12</v>
      </c>
      <c r="Z13" s="3">
        <v>4</v>
      </c>
    </row>
    <row r="14" spans="1:26">
      <c r="A14" s="48" t="s">
        <v>49</v>
      </c>
      <c r="B14" s="20" t="s">
        <v>134</v>
      </c>
      <c r="C14" s="38">
        <v>1</v>
      </c>
      <c r="D14" s="38">
        <v>2</v>
      </c>
      <c r="E14" s="20">
        <v>3</v>
      </c>
      <c r="F14" s="20">
        <v>4</v>
      </c>
      <c r="G14" s="20">
        <v>5</v>
      </c>
      <c r="H14" s="20">
        <v>6</v>
      </c>
      <c r="I14" s="20">
        <v>7</v>
      </c>
      <c r="J14" s="20">
        <v>8</v>
      </c>
      <c r="K14" s="38">
        <v>9</v>
      </c>
      <c r="L14" s="38">
        <v>10</v>
      </c>
      <c r="M14" s="38">
        <v>11</v>
      </c>
      <c r="N14" s="38">
        <v>12</v>
      </c>
      <c r="O14" s="38">
        <v>13</v>
      </c>
      <c r="P14" s="38">
        <v>14</v>
      </c>
      <c r="Q14" s="38">
        <v>15</v>
      </c>
      <c r="R14" s="20">
        <v>16</v>
      </c>
      <c r="S14" s="38">
        <v>17</v>
      </c>
      <c r="T14" s="38">
        <v>18</v>
      </c>
      <c r="U14" s="38">
        <v>19</v>
      </c>
      <c r="V14" s="38">
        <v>20</v>
      </c>
      <c r="W14" s="20" t="s">
        <v>2</v>
      </c>
      <c r="X14" s="4"/>
      <c r="Y14" s="3">
        <v>13</v>
      </c>
      <c r="Z14" s="3">
        <v>3</v>
      </c>
    </row>
    <row r="15" spans="1:26">
      <c r="A15" s="43" t="s">
        <v>139</v>
      </c>
      <c r="B15" s="20">
        <f>10+5</f>
        <v>15</v>
      </c>
      <c r="C15" s="20"/>
      <c r="D15" s="20"/>
      <c r="E15" s="20">
        <v>3</v>
      </c>
      <c r="F15" s="20"/>
      <c r="G15" s="20"/>
      <c r="H15" s="20"/>
      <c r="I15" s="20">
        <f>3</f>
        <v>3</v>
      </c>
      <c r="J15" s="20">
        <f>12+10</f>
        <v>22</v>
      </c>
      <c r="K15" s="20">
        <f>10+10</f>
        <v>20</v>
      </c>
      <c r="L15" s="20">
        <v>10</v>
      </c>
      <c r="M15" s="20">
        <v>10</v>
      </c>
      <c r="N15" s="20">
        <f>20+10</f>
        <v>30</v>
      </c>
      <c r="O15" s="20">
        <v>10</v>
      </c>
      <c r="P15" s="20">
        <f>9+10</f>
        <v>19</v>
      </c>
      <c r="Q15" s="39">
        <f>9+25</f>
        <v>34</v>
      </c>
      <c r="R15" s="39">
        <v>15</v>
      </c>
      <c r="S15" s="39">
        <f>20+15</f>
        <v>35</v>
      </c>
      <c r="T15" s="39">
        <v>15</v>
      </c>
      <c r="U15" s="39">
        <v>15</v>
      </c>
      <c r="V15" s="39">
        <v>15</v>
      </c>
      <c r="W15" s="39">
        <f>SUM(B15:V15)+100</f>
        <v>371</v>
      </c>
      <c r="X15" s="4"/>
      <c r="Y15" s="3">
        <v>14</v>
      </c>
      <c r="Z15" s="3">
        <v>2</v>
      </c>
    </row>
    <row r="16" spans="1:26">
      <c r="A16" s="34" t="s">
        <v>101</v>
      </c>
      <c r="B16" s="20"/>
      <c r="C16" s="20"/>
      <c r="D16" s="20"/>
      <c r="E16" s="20">
        <v>3</v>
      </c>
      <c r="F16" s="20">
        <v>3</v>
      </c>
      <c r="G16" s="20">
        <v>3</v>
      </c>
      <c r="H16" s="20">
        <v>3</v>
      </c>
      <c r="I16" s="20">
        <v>6</v>
      </c>
      <c r="J16" s="20">
        <f>14+6</f>
        <v>20</v>
      </c>
      <c r="K16" s="20">
        <v>6</v>
      </c>
      <c r="L16" s="20">
        <v>6</v>
      </c>
      <c r="M16" s="20">
        <v>6</v>
      </c>
      <c r="N16" s="20">
        <f>6+6</f>
        <v>12</v>
      </c>
      <c r="O16" s="20">
        <v>6</v>
      </c>
      <c r="P16" s="20">
        <v>6</v>
      </c>
      <c r="Q16" s="20">
        <v>3</v>
      </c>
      <c r="R16" s="20">
        <v>3</v>
      </c>
      <c r="S16" s="20">
        <f>6+3</f>
        <v>9</v>
      </c>
      <c r="T16" s="20">
        <v>3</v>
      </c>
      <c r="U16" s="20">
        <v>3</v>
      </c>
      <c r="V16" s="20">
        <v>3</v>
      </c>
      <c r="W16" s="20">
        <f>SUM(B16:V16)+10</f>
        <v>114</v>
      </c>
      <c r="X16" s="4"/>
      <c r="Y16" s="3">
        <v>15</v>
      </c>
      <c r="Z16" s="3">
        <v>1</v>
      </c>
    </row>
    <row r="17" spans="1:29">
      <c r="A17" s="45" t="s">
        <v>102</v>
      </c>
      <c r="B17" s="20"/>
      <c r="C17" s="20"/>
      <c r="D17" s="20"/>
      <c r="E17" s="44">
        <f>-10</f>
        <v>-10</v>
      </c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>
        <f>SUM(B17:V17)</f>
        <v>-10</v>
      </c>
      <c r="X17" s="4"/>
    </row>
    <row r="18" spans="1:29">
      <c r="A18" s="34" t="s">
        <v>103</v>
      </c>
      <c r="B18" s="20"/>
      <c r="C18" s="20"/>
      <c r="D18" s="20"/>
      <c r="E18" s="20"/>
      <c r="F18" s="20">
        <f>4</f>
        <v>4</v>
      </c>
      <c r="G18" s="46">
        <f>25</f>
        <v>25</v>
      </c>
      <c r="H18" s="46">
        <f>25</f>
        <v>25</v>
      </c>
      <c r="I18" s="20"/>
      <c r="J18" s="20"/>
      <c r="K18" s="20"/>
      <c r="L18" s="20">
        <f>7</f>
        <v>7</v>
      </c>
      <c r="M18" s="46">
        <f>25</f>
        <v>25</v>
      </c>
      <c r="N18" s="20"/>
      <c r="O18" s="20">
        <f>20+3</f>
        <v>23</v>
      </c>
      <c r="P18" s="20">
        <v>3</v>
      </c>
      <c r="Q18" s="20">
        <v>3</v>
      </c>
      <c r="R18" s="20">
        <v>3</v>
      </c>
      <c r="S18" s="20">
        <v>3</v>
      </c>
      <c r="T18" s="46">
        <f>25+3</f>
        <v>28</v>
      </c>
      <c r="U18" s="20">
        <v>3</v>
      </c>
      <c r="V18" s="46">
        <f>25+6</f>
        <v>31</v>
      </c>
      <c r="W18" s="20">
        <f>SUM(B18:V18)+30</f>
        <v>213</v>
      </c>
      <c r="X18" s="4"/>
    </row>
    <row r="19" spans="1:29">
      <c r="A19" s="42" t="s">
        <v>138</v>
      </c>
      <c r="B19" s="20"/>
      <c r="C19" s="20"/>
      <c r="D19" s="20"/>
      <c r="E19" s="20"/>
      <c r="F19" s="20"/>
      <c r="G19" s="20"/>
      <c r="H19" s="20"/>
      <c r="I19" s="20"/>
      <c r="J19" s="20">
        <f>16+3</f>
        <v>19</v>
      </c>
      <c r="K19" s="41">
        <f>5+15</f>
        <v>20</v>
      </c>
      <c r="L19" s="41">
        <v>10</v>
      </c>
      <c r="M19" s="41">
        <v>10</v>
      </c>
      <c r="N19" s="41">
        <f>7+10</f>
        <v>17</v>
      </c>
      <c r="O19" s="41">
        <v>10</v>
      </c>
      <c r="P19" s="41">
        <f>10+10</f>
        <v>20</v>
      </c>
      <c r="Q19" s="20">
        <f>1+6</f>
        <v>7</v>
      </c>
      <c r="R19" s="20">
        <v>6</v>
      </c>
      <c r="S19" s="20">
        <f>9+6</f>
        <v>15</v>
      </c>
      <c r="T19" s="20">
        <v>6</v>
      </c>
      <c r="U19" s="20">
        <v>6</v>
      </c>
      <c r="V19" s="20">
        <v>6</v>
      </c>
      <c r="W19" s="20">
        <f>SUM(B19:V19)+30</f>
        <v>182</v>
      </c>
      <c r="X19" s="4"/>
      <c r="Y19" s="10" t="s">
        <v>6</v>
      </c>
      <c r="Z19" s="31"/>
      <c r="AA19" s="31"/>
      <c r="AB19" s="10">
        <v>-10</v>
      </c>
    </row>
    <row r="20" spans="1:29">
      <c r="A20" s="37" t="s">
        <v>141</v>
      </c>
      <c r="B20" s="20"/>
      <c r="C20" s="40">
        <f>25+15</f>
        <v>40</v>
      </c>
      <c r="D20" s="36">
        <v>10</v>
      </c>
      <c r="E20" s="20"/>
      <c r="F20" s="46">
        <f>25+6</f>
        <v>31</v>
      </c>
      <c r="G20" s="20">
        <f>8+6</f>
        <v>14</v>
      </c>
      <c r="H20" s="20">
        <f>16+6</f>
        <v>22</v>
      </c>
      <c r="I20" s="20">
        <v>6</v>
      </c>
      <c r="J20" s="20">
        <v>6</v>
      </c>
      <c r="K20" s="20">
        <v>6</v>
      </c>
      <c r="L20" s="20">
        <f>6+6</f>
        <v>12</v>
      </c>
      <c r="M20" s="36">
        <f>20+10</f>
        <v>30</v>
      </c>
      <c r="N20" s="20">
        <v>6</v>
      </c>
      <c r="O20" s="36">
        <f>16+10</f>
        <v>26</v>
      </c>
      <c r="P20" s="36">
        <v>10</v>
      </c>
      <c r="Q20" s="36">
        <v>10</v>
      </c>
      <c r="R20" s="20">
        <v>6</v>
      </c>
      <c r="S20" s="20">
        <v>6</v>
      </c>
      <c r="T20" s="36">
        <f>16+10</f>
        <v>26</v>
      </c>
      <c r="U20" s="36">
        <v>10</v>
      </c>
      <c r="V20" s="36">
        <f>20+10</f>
        <v>30</v>
      </c>
      <c r="W20" s="36">
        <f>SUM(B20:V20)+50</f>
        <v>357</v>
      </c>
      <c r="X20" s="4"/>
      <c r="Y20" s="11" t="s">
        <v>7</v>
      </c>
      <c r="Z20" s="29"/>
      <c r="AA20" s="29"/>
      <c r="AB20" s="11">
        <v>-50</v>
      </c>
      <c r="AC20" s="7" t="s">
        <v>13</v>
      </c>
    </row>
    <row r="21" spans="1:29">
      <c r="A21" s="37" t="s">
        <v>133</v>
      </c>
      <c r="B21" s="36">
        <f>20+15</f>
        <v>35</v>
      </c>
      <c r="C21" s="41">
        <v>15</v>
      </c>
      <c r="D21" s="41">
        <f>10</f>
        <v>10</v>
      </c>
      <c r="E21" s="2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>
        <f>20</f>
        <v>20</v>
      </c>
      <c r="V21" s="20"/>
      <c r="W21" s="20">
        <f t="shared" ref="W16:W22" si="6">SUM(B21:V21)</f>
        <v>80</v>
      </c>
      <c r="X21" s="4"/>
      <c r="Y21" s="32" t="s">
        <v>91</v>
      </c>
      <c r="Z21" s="30"/>
      <c r="AA21" s="30"/>
      <c r="AB21" s="30">
        <v>-200</v>
      </c>
      <c r="AC21" s="7" t="s">
        <v>92</v>
      </c>
    </row>
    <row r="22" spans="1:29">
      <c r="A22" s="34" t="s">
        <v>104</v>
      </c>
      <c r="B22" s="20"/>
      <c r="C22" s="20"/>
      <c r="D22" s="20">
        <f>6</f>
        <v>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>
        <f t="shared" si="6"/>
        <v>6</v>
      </c>
      <c r="X22" s="4"/>
      <c r="Y22" s="12" t="s">
        <v>10</v>
      </c>
      <c r="Z22" s="28"/>
      <c r="AA22" s="28"/>
      <c r="AB22" s="12">
        <v>-100</v>
      </c>
    </row>
    <row r="23" spans="1:29">
      <c r="A23" s="34" t="s">
        <v>105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>
        <f>SUM(B23:V23)</f>
        <v>0</v>
      </c>
      <c r="X23" s="4"/>
    </row>
    <row r="24" spans="1:29">
      <c r="A24" s="2" t="s">
        <v>9</v>
      </c>
      <c r="B24" s="20">
        <f t="shared" ref="B24:V24" si="7">SUM(B15:B23)</f>
        <v>50</v>
      </c>
      <c r="C24" s="20">
        <f t="shared" si="7"/>
        <v>55</v>
      </c>
      <c r="D24" s="20">
        <f t="shared" si="7"/>
        <v>26</v>
      </c>
      <c r="E24" s="20">
        <f t="shared" si="7"/>
        <v>-4</v>
      </c>
      <c r="F24" s="20">
        <f t="shared" si="7"/>
        <v>38</v>
      </c>
      <c r="G24" s="20">
        <f t="shared" si="7"/>
        <v>42</v>
      </c>
      <c r="H24" s="20">
        <f t="shared" si="7"/>
        <v>50</v>
      </c>
      <c r="I24" s="20">
        <f t="shared" si="7"/>
        <v>15</v>
      </c>
      <c r="J24" s="20">
        <f t="shared" si="7"/>
        <v>67</v>
      </c>
      <c r="K24" s="20">
        <f t="shared" si="7"/>
        <v>52</v>
      </c>
      <c r="L24" s="20">
        <f t="shared" si="7"/>
        <v>45</v>
      </c>
      <c r="M24" s="20">
        <f t="shared" si="7"/>
        <v>81</v>
      </c>
      <c r="N24" s="20">
        <f t="shared" si="7"/>
        <v>65</v>
      </c>
      <c r="O24" s="20">
        <f t="shared" si="7"/>
        <v>75</v>
      </c>
      <c r="P24" s="20">
        <f t="shared" si="7"/>
        <v>58</v>
      </c>
      <c r="Q24" s="20">
        <f t="shared" si="7"/>
        <v>57</v>
      </c>
      <c r="R24" s="20">
        <f t="shared" si="7"/>
        <v>33</v>
      </c>
      <c r="S24" s="20">
        <f t="shared" si="7"/>
        <v>68</v>
      </c>
      <c r="T24" s="20">
        <f t="shared" si="7"/>
        <v>78</v>
      </c>
      <c r="U24" s="20">
        <f t="shared" si="7"/>
        <v>57</v>
      </c>
      <c r="V24" s="20">
        <f t="shared" si="7"/>
        <v>85</v>
      </c>
      <c r="W24" s="20">
        <f>SUM(W15:W23)</f>
        <v>1313</v>
      </c>
      <c r="Y24" s="3" t="s">
        <v>14</v>
      </c>
      <c r="Z24" s="3"/>
    </row>
    <row r="25" spans="1:29">
      <c r="A25" s="2" t="s">
        <v>3</v>
      </c>
      <c r="B25" s="20">
        <f>B24</f>
        <v>50</v>
      </c>
      <c r="C25" s="20">
        <f t="shared" ref="C25:V25" si="8">B25+C24</f>
        <v>105</v>
      </c>
      <c r="D25" s="20">
        <f t="shared" si="8"/>
        <v>131</v>
      </c>
      <c r="E25" s="20">
        <f t="shared" si="8"/>
        <v>127</v>
      </c>
      <c r="F25" s="20">
        <f t="shared" si="8"/>
        <v>165</v>
      </c>
      <c r="G25" s="20">
        <f t="shared" si="8"/>
        <v>207</v>
      </c>
      <c r="H25" s="20">
        <f t="shared" si="8"/>
        <v>257</v>
      </c>
      <c r="I25" s="20">
        <f t="shared" si="8"/>
        <v>272</v>
      </c>
      <c r="J25" s="20">
        <f t="shared" si="8"/>
        <v>339</v>
      </c>
      <c r="K25" s="20">
        <f t="shared" si="8"/>
        <v>391</v>
      </c>
      <c r="L25" s="20">
        <f t="shared" si="8"/>
        <v>436</v>
      </c>
      <c r="M25" s="20">
        <f t="shared" si="8"/>
        <v>517</v>
      </c>
      <c r="N25" s="20">
        <f t="shared" si="8"/>
        <v>582</v>
      </c>
      <c r="O25" s="20">
        <f t="shared" si="8"/>
        <v>657</v>
      </c>
      <c r="P25" s="20">
        <f t="shared" si="8"/>
        <v>715</v>
      </c>
      <c r="Q25" s="20">
        <f t="shared" si="8"/>
        <v>772</v>
      </c>
      <c r="R25" s="20">
        <f t="shared" si="8"/>
        <v>805</v>
      </c>
      <c r="S25" s="20">
        <f t="shared" si="8"/>
        <v>873</v>
      </c>
      <c r="T25" s="20">
        <f t="shared" si="8"/>
        <v>951</v>
      </c>
      <c r="U25" s="20">
        <f t="shared" si="8"/>
        <v>1008</v>
      </c>
      <c r="V25" s="20">
        <f>W24</f>
        <v>1313</v>
      </c>
      <c r="W25" s="20">
        <f>AVERAGE(W15:W23)</f>
        <v>145.88888888888889</v>
      </c>
      <c r="X25" s="4"/>
      <c r="Y25" s="24" t="s">
        <v>87</v>
      </c>
      <c r="Z25" s="3">
        <v>25</v>
      </c>
      <c r="AA25" s="3" t="s">
        <v>23</v>
      </c>
    </row>
    <row r="26" spans="1:29">
      <c r="A26" s="17" t="s">
        <v>50</v>
      </c>
      <c r="B26" s="20" t="s">
        <v>134</v>
      </c>
      <c r="C26" s="20">
        <v>1</v>
      </c>
      <c r="D26" s="20">
        <v>2</v>
      </c>
      <c r="E26" s="20">
        <v>3</v>
      </c>
      <c r="F26" s="38">
        <v>4</v>
      </c>
      <c r="G26" s="20">
        <v>5</v>
      </c>
      <c r="H26" s="20">
        <v>6</v>
      </c>
      <c r="I26" s="20">
        <v>7</v>
      </c>
      <c r="J26" s="20">
        <v>8</v>
      </c>
      <c r="K26" s="20">
        <v>9</v>
      </c>
      <c r="L26" s="20">
        <v>10</v>
      </c>
      <c r="M26" s="20">
        <v>11</v>
      </c>
      <c r="N26" s="20">
        <v>12</v>
      </c>
      <c r="O26" s="20">
        <v>13</v>
      </c>
      <c r="P26" s="20">
        <v>14</v>
      </c>
      <c r="Q26" s="20">
        <v>15</v>
      </c>
      <c r="R26" s="38">
        <v>16</v>
      </c>
      <c r="S26" s="20">
        <v>17</v>
      </c>
      <c r="T26" s="20">
        <v>18</v>
      </c>
      <c r="U26" s="20">
        <v>19</v>
      </c>
      <c r="V26" s="20">
        <v>20</v>
      </c>
      <c r="W26" s="20" t="s">
        <v>2</v>
      </c>
      <c r="X26" s="4"/>
      <c r="Y26" s="25" t="s">
        <v>34</v>
      </c>
      <c r="Z26" s="3">
        <v>15</v>
      </c>
      <c r="AA26" s="3" t="s">
        <v>25</v>
      </c>
    </row>
    <row r="27" spans="1:29">
      <c r="A27" s="45" t="s">
        <v>106</v>
      </c>
      <c r="B27" s="20"/>
      <c r="C27" s="20"/>
      <c r="D27" s="20"/>
      <c r="E27" s="44">
        <f>-10</f>
        <v>-10</v>
      </c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>
        <f>SUM(B27:V27)</f>
        <v>-10</v>
      </c>
      <c r="X27" s="4"/>
      <c r="Y27" s="26" t="s">
        <v>88</v>
      </c>
      <c r="Z27" s="3">
        <v>15</v>
      </c>
      <c r="AA27" s="3" t="s">
        <v>24</v>
      </c>
    </row>
    <row r="28" spans="1:29">
      <c r="A28" s="34" t="s">
        <v>107</v>
      </c>
      <c r="B28" s="20">
        <f>14+6</f>
        <v>20</v>
      </c>
      <c r="C28" s="20">
        <v>5</v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>
        <f>10</f>
        <v>10</v>
      </c>
      <c r="S28" s="20"/>
      <c r="T28" s="20"/>
      <c r="U28" s="20"/>
      <c r="V28" s="20"/>
      <c r="W28" s="20">
        <f t="shared" ref="W28:W35" si="9">SUM(B28:V28)</f>
        <v>35</v>
      </c>
      <c r="X28" s="4"/>
      <c r="Y28" s="42" t="s">
        <v>47</v>
      </c>
      <c r="Z28" s="3">
        <v>15</v>
      </c>
      <c r="AA28" s="3" t="s">
        <v>48</v>
      </c>
    </row>
    <row r="29" spans="1:29">
      <c r="A29" s="34" t="s">
        <v>108</v>
      </c>
      <c r="B29" s="20">
        <f>3</f>
        <v>3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>
        <f t="shared" si="9"/>
        <v>3</v>
      </c>
      <c r="X29" s="4"/>
      <c r="Y29" s="27" t="s">
        <v>89</v>
      </c>
      <c r="Z29" s="3">
        <v>10</v>
      </c>
      <c r="AA29" s="3" t="s">
        <v>90</v>
      </c>
    </row>
    <row r="30" spans="1:29">
      <c r="A30" s="34" t="s">
        <v>109</v>
      </c>
      <c r="B30" s="20"/>
      <c r="C30" s="20">
        <f>14</f>
        <v>14</v>
      </c>
      <c r="D30" s="20">
        <f>14</f>
        <v>14</v>
      </c>
      <c r="E30" s="20">
        <v>2</v>
      </c>
      <c r="F30" s="20">
        <f>14+3</f>
        <v>17</v>
      </c>
      <c r="G30" s="20">
        <f>9+3</f>
        <v>12</v>
      </c>
      <c r="H30" s="20">
        <f>14+3</f>
        <v>17</v>
      </c>
      <c r="I30" s="20">
        <v>3</v>
      </c>
      <c r="J30" s="20">
        <v>3</v>
      </c>
      <c r="K30" s="20">
        <v>3</v>
      </c>
      <c r="L30" s="20">
        <f>4+3</f>
        <v>7</v>
      </c>
      <c r="M30" s="20">
        <f>12+3</f>
        <v>15</v>
      </c>
      <c r="N30" s="20">
        <v>3</v>
      </c>
      <c r="O30" s="20"/>
      <c r="P30" s="20"/>
      <c r="Q30" s="20"/>
      <c r="R30" s="20"/>
      <c r="S30" s="20"/>
      <c r="T30" s="20">
        <f>14</f>
        <v>14</v>
      </c>
      <c r="U30" s="20"/>
      <c r="V30" s="20">
        <f>7</f>
        <v>7</v>
      </c>
      <c r="W30" s="20">
        <f>SUM(B30:V30)</f>
        <v>131</v>
      </c>
      <c r="X30" s="4"/>
      <c r="Y30" s="6" t="s">
        <v>15</v>
      </c>
      <c r="Z30" s="9" t="s">
        <v>16</v>
      </c>
      <c r="AA30" s="9" t="s">
        <v>17</v>
      </c>
      <c r="AB30" s="9" t="s">
        <v>18</v>
      </c>
    </row>
    <row r="31" spans="1:29">
      <c r="A31" s="37" t="s">
        <v>140</v>
      </c>
      <c r="B31" s="20"/>
      <c r="C31" s="20">
        <f>16+3</f>
        <v>19</v>
      </c>
      <c r="D31" s="20">
        <f>9</f>
        <v>9</v>
      </c>
      <c r="E31" s="40">
        <f>25+15</f>
        <v>40</v>
      </c>
      <c r="F31" s="36">
        <f>7+10</f>
        <v>17</v>
      </c>
      <c r="G31" s="36">
        <f>12+10</f>
        <v>22</v>
      </c>
      <c r="H31" s="36">
        <f>6+10</f>
        <v>16</v>
      </c>
      <c r="I31" s="36">
        <v>10</v>
      </c>
      <c r="J31" s="36">
        <v>10</v>
      </c>
      <c r="K31" s="36">
        <v>10</v>
      </c>
      <c r="L31" s="36">
        <f>5+10</f>
        <v>15</v>
      </c>
      <c r="M31" s="20">
        <f>9+6</f>
        <v>15</v>
      </c>
      <c r="N31" s="36">
        <v>10</v>
      </c>
      <c r="O31" s="20">
        <f>8+6</f>
        <v>14</v>
      </c>
      <c r="P31" s="20">
        <v>6</v>
      </c>
      <c r="Q31" s="20">
        <v>6</v>
      </c>
      <c r="R31" s="36">
        <f>6+10</f>
        <v>16</v>
      </c>
      <c r="S31" s="36">
        <v>10</v>
      </c>
      <c r="T31" s="20">
        <f>2+6</f>
        <v>8</v>
      </c>
      <c r="U31" s="20">
        <v>6</v>
      </c>
      <c r="V31" s="20">
        <f>9+3</f>
        <v>12</v>
      </c>
      <c r="W31" s="20">
        <f>SUM(B31:V31)+10</f>
        <v>281</v>
      </c>
      <c r="X31" s="4"/>
      <c r="Y31" s="24" t="s">
        <v>87</v>
      </c>
      <c r="Z31" s="3">
        <v>15</v>
      </c>
      <c r="AA31" s="3">
        <v>10</v>
      </c>
      <c r="AB31" s="3">
        <v>5</v>
      </c>
    </row>
    <row r="32" spans="1:29">
      <c r="A32" s="34" t="s">
        <v>110</v>
      </c>
      <c r="B32" s="20"/>
      <c r="C32" s="20"/>
      <c r="D32" s="20"/>
      <c r="E32" s="20"/>
      <c r="F32" s="20">
        <f>2</f>
        <v>2</v>
      </c>
      <c r="G32" s="20"/>
      <c r="H32" s="20"/>
      <c r="I32" s="20"/>
      <c r="J32" s="20">
        <f>20</f>
        <v>20</v>
      </c>
      <c r="K32" s="20">
        <f>8+5</f>
        <v>13</v>
      </c>
      <c r="L32" s="20">
        <v>5</v>
      </c>
      <c r="M32" s="20">
        <f>1+5</f>
        <v>6</v>
      </c>
      <c r="N32" s="20">
        <f>10+5</f>
        <v>15</v>
      </c>
      <c r="O32" s="20">
        <f>2+5</f>
        <v>7</v>
      </c>
      <c r="P32" s="20">
        <f>16+5</f>
        <v>21</v>
      </c>
      <c r="Q32" s="20">
        <f>8+10</f>
        <v>18</v>
      </c>
      <c r="R32" s="20">
        <v>10</v>
      </c>
      <c r="S32" s="20">
        <f>12+10</f>
        <v>22</v>
      </c>
      <c r="T32" s="20">
        <v>10</v>
      </c>
      <c r="U32" s="20">
        <v>5</v>
      </c>
      <c r="V32" s="20">
        <v>5</v>
      </c>
      <c r="W32" s="20">
        <f t="shared" si="9"/>
        <v>159</v>
      </c>
      <c r="X32" s="4"/>
      <c r="Y32" s="25" t="s">
        <v>34</v>
      </c>
      <c r="Z32" s="3">
        <v>10</v>
      </c>
      <c r="AA32" s="3">
        <v>6</v>
      </c>
      <c r="AB32" s="3">
        <v>3</v>
      </c>
    </row>
    <row r="33" spans="1:28">
      <c r="A33" s="34" t="s">
        <v>111</v>
      </c>
      <c r="B33" s="20"/>
      <c r="C33" s="20"/>
      <c r="D33" s="20"/>
      <c r="E33" s="20"/>
      <c r="F33" s="20"/>
      <c r="G33" s="20">
        <v>3</v>
      </c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>
        <f>SUM(B33:V33)</f>
        <v>3</v>
      </c>
      <c r="X33" s="4"/>
      <c r="Y33" s="26" t="s">
        <v>88</v>
      </c>
      <c r="Z33" s="3">
        <v>10</v>
      </c>
      <c r="AA33" s="3">
        <v>6</v>
      </c>
      <c r="AB33" s="3">
        <v>3</v>
      </c>
    </row>
    <row r="34" spans="1:28">
      <c r="A34" s="45" t="s">
        <v>112</v>
      </c>
      <c r="B34" s="20"/>
      <c r="C34" s="20"/>
      <c r="D34" s="20"/>
      <c r="E34" s="20"/>
      <c r="F34" s="20">
        <f>12</f>
        <v>12</v>
      </c>
      <c r="G34" s="20"/>
      <c r="H34" s="20">
        <f>7</f>
        <v>7</v>
      </c>
      <c r="I34" s="20"/>
      <c r="J34" s="20"/>
      <c r="K34" s="20"/>
      <c r="L34" s="20"/>
      <c r="M34" s="44">
        <f>-10</f>
        <v>-10</v>
      </c>
      <c r="N34" s="44"/>
      <c r="O34" s="44"/>
      <c r="P34" s="44"/>
      <c r="Q34" s="44"/>
      <c r="R34" s="44"/>
      <c r="S34" s="44"/>
      <c r="T34" s="44"/>
      <c r="U34" s="44"/>
      <c r="V34" s="44"/>
      <c r="W34" s="44">
        <f>SUM(B34:V34)</f>
        <v>9</v>
      </c>
      <c r="X34" s="4"/>
      <c r="Y34" s="42" t="s">
        <v>47</v>
      </c>
      <c r="Z34" s="3">
        <v>10</v>
      </c>
      <c r="AA34" s="3">
        <v>6</v>
      </c>
      <c r="AB34" s="3">
        <v>3</v>
      </c>
    </row>
    <row r="35" spans="1:28">
      <c r="A35" s="34" t="s">
        <v>130</v>
      </c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>
        <f>9</f>
        <v>9</v>
      </c>
      <c r="O35" s="20"/>
      <c r="P35" s="20"/>
      <c r="Q35" s="20"/>
      <c r="R35" s="20"/>
      <c r="S35" s="20">
        <f>3</f>
        <v>3</v>
      </c>
      <c r="T35" s="20"/>
      <c r="U35" s="20"/>
      <c r="V35" s="20"/>
      <c r="W35" s="20">
        <f t="shared" si="9"/>
        <v>12</v>
      </c>
      <c r="X35" s="4"/>
      <c r="Y35" s="27" t="s">
        <v>89</v>
      </c>
      <c r="Z35" s="3">
        <v>10</v>
      </c>
    </row>
    <row r="36" spans="1:28">
      <c r="A36" s="2" t="s">
        <v>9</v>
      </c>
      <c r="B36" s="20">
        <f t="shared" ref="B36:V36" si="10">SUM(B27:B35)</f>
        <v>23</v>
      </c>
      <c r="C36" s="20">
        <f t="shared" si="10"/>
        <v>38</v>
      </c>
      <c r="D36" s="20">
        <f t="shared" si="10"/>
        <v>23</v>
      </c>
      <c r="E36" s="20">
        <f t="shared" si="10"/>
        <v>32</v>
      </c>
      <c r="F36" s="20">
        <f t="shared" si="10"/>
        <v>48</v>
      </c>
      <c r="G36" s="20">
        <f t="shared" si="10"/>
        <v>37</v>
      </c>
      <c r="H36" s="20">
        <f t="shared" si="10"/>
        <v>40</v>
      </c>
      <c r="I36" s="20">
        <f t="shared" si="10"/>
        <v>13</v>
      </c>
      <c r="J36" s="20">
        <f t="shared" si="10"/>
        <v>33</v>
      </c>
      <c r="K36" s="20">
        <f t="shared" si="10"/>
        <v>26</v>
      </c>
      <c r="L36" s="20">
        <f t="shared" si="10"/>
        <v>27</v>
      </c>
      <c r="M36" s="20">
        <f t="shared" si="10"/>
        <v>26</v>
      </c>
      <c r="N36" s="20">
        <f t="shared" si="10"/>
        <v>37</v>
      </c>
      <c r="O36" s="20">
        <f t="shared" si="10"/>
        <v>21</v>
      </c>
      <c r="P36" s="20">
        <f t="shared" si="10"/>
        <v>27</v>
      </c>
      <c r="Q36" s="20">
        <f t="shared" si="10"/>
        <v>24</v>
      </c>
      <c r="R36" s="20">
        <f t="shared" si="10"/>
        <v>36</v>
      </c>
      <c r="S36" s="20">
        <f t="shared" si="10"/>
        <v>35</v>
      </c>
      <c r="T36" s="20">
        <f t="shared" si="10"/>
        <v>32</v>
      </c>
      <c r="U36" s="20">
        <f t="shared" si="10"/>
        <v>11</v>
      </c>
      <c r="V36" s="20">
        <f t="shared" si="10"/>
        <v>24</v>
      </c>
      <c r="W36" s="20">
        <f>SUM(W27:W35)</f>
        <v>623</v>
      </c>
      <c r="X36" s="4"/>
      <c r="Y36" s="6" t="s">
        <v>11</v>
      </c>
      <c r="Z36" s="9" t="s">
        <v>16</v>
      </c>
      <c r="AA36" s="9" t="s">
        <v>17</v>
      </c>
      <c r="AB36" s="9" t="s">
        <v>18</v>
      </c>
    </row>
    <row r="37" spans="1:28">
      <c r="A37" s="2" t="s">
        <v>3</v>
      </c>
      <c r="B37" s="20">
        <f>B36</f>
        <v>23</v>
      </c>
      <c r="C37" s="20">
        <f t="shared" ref="C37:V37" si="11">B37+C36</f>
        <v>61</v>
      </c>
      <c r="D37" s="20">
        <f t="shared" si="11"/>
        <v>84</v>
      </c>
      <c r="E37" s="20">
        <f t="shared" si="11"/>
        <v>116</v>
      </c>
      <c r="F37" s="20">
        <f t="shared" si="11"/>
        <v>164</v>
      </c>
      <c r="G37" s="20">
        <f t="shared" si="11"/>
        <v>201</v>
      </c>
      <c r="H37" s="20">
        <f t="shared" si="11"/>
        <v>241</v>
      </c>
      <c r="I37" s="20">
        <f t="shared" si="11"/>
        <v>254</v>
      </c>
      <c r="J37" s="20">
        <f t="shared" si="11"/>
        <v>287</v>
      </c>
      <c r="K37" s="20">
        <f t="shared" si="11"/>
        <v>313</v>
      </c>
      <c r="L37" s="20">
        <f t="shared" si="11"/>
        <v>340</v>
      </c>
      <c r="M37" s="20">
        <f t="shared" si="11"/>
        <v>366</v>
      </c>
      <c r="N37" s="20">
        <f t="shared" si="11"/>
        <v>403</v>
      </c>
      <c r="O37" s="20">
        <f t="shared" si="11"/>
        <v>424</v>
      </c>
      <c r="P37" s="20">
        <f t="shared" si="11"/>
        <v>451</v>
      </c>
      <c r="Q37" s="20">
        <f t="shared" si="11"/>
        <v>475</v>
      </c>
      <c r="R37" s="20">
        <f t="shared" si="11"/>
        <v>511</v>
      </c>
      <c r="S37" s="20">
        <f t="shared" si="11"/>
        <v>546</v>
      </c>
      <c r="T37" s="20">
        <f t="shared" si="11"/>
        <v>578</v>
      </c>
      <c r="U37" s="20">
        <f t="shared" si="11"/>
        <v>589</v>
      </c>
      <c r="V37" s="20">
        <f>W36</f>
        <v>623</v>
      </c>
      <c r="W37" s="20">
        <f>AVERAGE(W27:W35)</f>
        <v>69.222222222222229</v>
      </c>
      <c r="X37" s="4"/>
      <c r="Y37" s="24" t="s">
        <v>87</v>
      </c>
      <c r="Z37" s="3">
        <v>100</v>
      </c>
      <c r="AA37" s="3">
        <v>50</v>
      </c>
      <c r="AB37" s="3">
        <v>30</v>
      </c>
    </row>
    <row r="38" spans="1:28">
      <c r="A38" s="17" t="s">
        <v>52</v>
      </c>
      <c r="B38" s="20" t="s">
        <v>134</v>
      </c>
      <c r="C38" s="20">
        <v>1</v>
      </c>
      <c r="D38" s="20">
        <v>2</v>
      </c>
      <c r="E38" s="20">
        <v>3</v>
      </c>
      <c r="F38" s="20">
        <v>4</v>
      </c>
      <c r="G38" s="20">
        <v>5</v>
      </c>
      <c r="H38" s="20">
        <v>6</v>
      </c>
      <c r="I38" s="20">
        <v>7</v>
      </c>
      <c r="J38" s="20">
        <v>8</v>
      </c>
      <c r="K38" s="20">
        <v>9</v>
      </c>
      <c r="L38" s="20">
        <v>10</v>
      </c>
      <c r="M38" s="20">
        <v>11</v>
      </c>
      <c r="N38" s="20">
        <v>12</v>
      </c>
      <c r="O38" s="20">
        <v>13</v>
      </c>
      <c r="P38" s="20">
        <v>14</v>
      </c>
      <c r="Q38" s="20">
        <v>15</v>
      </c>
      <c r="R38" s="20">
        <v>16</v>
      </c>
      <c r="S38" s="20">
        <v>17</v>
      </c>
      <c r="T38" s="20">
        <v>18</v>
      </c>
      <c r="U38" s="20">
        <v>19</v>
      </c>
      <c r="V38" s="20">
        <v>20</v>
      </c>
      <c r="W38" s="20" t="s">
        <v>2</v>
      </c>
      <c r="X38" s="4"/>
      <c r="Y38" s="25" t="s">
        <v>34</v>
      </c>
      <c r="Z38" s="3">
        <v>50</v>
      </c>
      <c r="AA38" s="3">
        <v>30</v>
      </c>
      <c r="AB38" s="3">
        <v>10</v>
      </c>
    </row>
    <row r="39" spans="1:28">
      <c r="A39" s="3" t="s">
        <v>132</v>
      </c>
      <c r="B39" s="20"/>
      <c r="C39" s="20"/>
      <c r="D39" s="20"/>
      <c r="E39" s="20">
        <v>6</v>
      </c>
      <c r="F39" s="20"/>
      <c r="G39" s="20"/>
      <c r="H39" s="20"/>
      <c r="I39" s="20"/>
      <c r="J39" s="20"/>
      <c r="K39" s="20"/>
      <c r="L39" s="20"/>
      <c r="M39" s="20"/>
      <c r="N39" s="20">
        <f>16</f>
        <v>16</v>
      </c>
      <c r="O39" s="46">
        <f>25</f>
        <v>25</v>
      </c>
      <c r="P39" s="20">
        <f>3</f>
        <v>3</v>
      </c>
      <c r="Q39" s="20">
        <f>2</f>
        <v>2</v>
      </c>
      <c r="R39" s="20"/>
      <c r="S39" s="20"/>
      <c r="T39" s="20"/>
      <c r="U39" s="20"/>
      <c r="V39" s="20"/>
      <c r="W39" s="20">
        <f>SUM(B39:V39)</f>
        <v>52</v>
      </c>
      <c r="X39" s="4"/>
      <c r="Y39" s="26" t="s">
        <v>88</v>
      </c>
      <c r="Z39" s="3">
        <v>50</v>
      </c>
      <c r="AA39" s="3">
        <v>30</v>
      </c>
      <c r="AB39" s="3">
        <v>10</v>
      </c>
    </row>
    <row r="40" spans="1:28">
      <c r="A40" s="34" t="s">
        <v>113</v>
      </c>
      <c r="B40" s="20"/>
      <c r="C40" s="20"/>
      <c r="D40" s="20"/>
      <c r="E40" s="20">
        <f>8</f>
        <v>8</v>
      </c>
      <c r="F40" s="20"/>
      <c r="G40" s="20"/>
      <c r="H40" s="20"/>
      <c r="I40" s="20"/>
      <c r="J40" s="20"/>
      <c r="K40" s="20"/>
      <c r="L40" s="20"/>
      <c r="M40" s="20"/>
      <c r="N40" s="20">
        <f>2</f>
        <v>2</v>
      </c>
      <c r="O40" s="20"/>
      <c r="P40" s="20"/>
      <c r="Q40" s="20"/>
      <c r="R40" s="20"/>
      <c r="S40" s="20"/>
      <c r="T40" s="20"/>
      <c r="U40" s="20">
        <f>7</f>
        <v>7</v>
      </c>
      <c r="V40" s="20"/>
      <c r="W40" s="20">
        <f>SUM(B40:V40)</f>
        <v>17</v>
      </c>
      <c r="X40" s="4"/>
      <c r="Y40" s="42" t="s">
        <v>47</v>
      </c>
      <c r="Z40" s="3">
        <v>50</v>
      </c>
      <c r="AA40" s="3">
        <v>30</v>
      </c>
      <c r="AB40" s="3">
        <v>10</v>
      </c>
    </row>
    <row r="41" spans="1:28">
      <c r="A41" s="34" t="s">
        <v>114</v>
      </c>
      <c r="B41" s="20">
        <f>7+6</f>
        <v>13</v>
      </c>
      <c r="C41" s="20">
        <v>3</v>
      </c>
      <c r="D41" s="20">
        <v>3</v>
      </c>
      <c r="E41" s="20"/>
      <c r="F41" s="20">
        <f>16</f>
        <v>16</v>
      </c>
      <c r="G41" s="20">
        <f>16</f>
        <v>16</v>
      </c>
      <c r="H41" s="20">
        <v>8</v>
      </c>
      <c r="I41" s="20"/>
      <c r="J41" s="20"/>
      <c r="K41" s="20"/>
      <c r="L41" s="20"/>
      <c r="M41" s="20">
        <f>4</f>
        <v>4</v>
      </c>
      <c r="N41" s="20"/>
      <c r="O41" s="20">
        <f>14</f>
        <v>14</v>
      </c>
      <c r="P41" s="20"/>
      <c r="Q41" s="20"/>
      <c r="R41" s="20"/>
      <c r="S41" s="20"/>
      <c r="T41" s="20">
        <f>10</f>
        <v>10</v>
      </c>
      <c r="U41" s="20"/>
      <c r="V41" s="20"/>
      <c r="W41" s="20">
        <f>SUM(B41:V41)</f>
        <v>87</v>
      </c>
      <c r="X41" s="4"/>
      <c r="Y41" s="27" t="s">
        <v>89</v>
      </c>
      <c r="Z41" s="3">
        <v>50</v>
      </c>
    </row>
    <row r="42" spans="1:28">
      <c r="A42" s="3" t="s">
        <v>115</v>
      </c>
      <c r="B42" s="20"/>
      <c r="C42" s="20"/>
      <c r="D42" s="20"/>
      <c r="E42" s="20"/>
      <c r="F42" s="20"/>
      <c r="G42" s="20"/>
      <c r="H42" s="20"/>
      <c r="I42" s="20"/>
      <c r="J42" s="20">
        <f>7</f>
        <v>7</v>
      </c>
      <c r="K42" s="20">
        <f>1</f>
        <v>1</v>
      </c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>
        <f t="shared" ref="W42:W47" si="12">SUM(B42:V42)</f>
        <v>8</v>
      </c>
      <c r="X42" s="4"/>
    </row>
    <row r="43" spans="1:28">
      <c r="A43" s="34" t="s">
        <v>116</v>
      </c>
      <c r="B43" s="20"/>
      <c r="C43" s="20"/>
      <c r="D43" s="20"/>
      <c r="E43" s="20"/>
      <c r="F43" s="20"/>
      <c r="G43" s="20"/>
      <c r="H43" s="20"/>
      <c r="I43" s="20"/>
      <c r="J43" s="20">
        <f>5</f>
        <v>5</v>
      </c>
      <c r="K43" s="20"/>
      <c r="L43" s="20"/>
      <c r="M43" s="20"/>
      <c r="N43" s="20"/>
      <c r="O43" s="20"/>
      <c r="P43" s="20">
        <f>6</f>
        <v>6</v>
      </c>
      <c r="Q43" s="20"/>
      <c r="R43" s="20"/>
      <c r="S43" s="20"/>
      <c r="T43" s="20"/>
      <c r="U43" s="20"/>
      <c r="V43" s="20"/>
      <c r="W43" s="20">
        <f t="shared" si="12"/>
        <v>11</v>
      </c>
      <c r="X43" s="4"/>
      <c r="Y43" s="6" t="s">
        <v>42</v>
      </c>
      <c r="Z43" s="1"/>
    </row>
    <row r="44" spans="1:28">
      <c r="A44" s="34" t="s">
        <v>117</v>
      </c>
      <c r="B44" s="20"/>
      <c r="C44" s="20"/>
      <c r="D44" s="20"/>
      <c r="E44" s="20"/>
      <c r="F44" s="20"/>
      <c r="G44" s="20"/>
      <c r="H44" s="20"/>
      <c r="I44" s="20"/>
      <c r="J44" s="20"/>
      <c r="K44" s="20">
        <f>20</f>
        <v>20</v>
      </c>
      <c r="L44" s="20"/>
      <c r="M44" s="20"/>
      <c r="N44" s="20"/>
      <c r="O44" s="20"/>
      <c r="P44" s="20">
        <f>2</f>
        <v>2</v>
      </c>
      <c r="Q44" s="20"/>
      <c r="R44" s="20"/>
      <c r="S44" s="20"/>
      <c r="T44" s="20"/>
      <c r="U44" s="20"/>
      <c r="V44" s="20"/>
      <c r="W44" s="20">
        <f t="shared" si="12"/>
        <v>22</v>
      </c>
      <c r="X44" s="4"/>
      <c r="Y44" s="6" t="s">
        <v>20</v>
      </c>
      <c r="Z44" s="1"/>
    </row>
    <row r="45" spans="1:28">
      <c r="A45" s="34" t="s">
        <v>118</v>
      </c>
      <c r="B45" s="20"/>
      <c r="C45" s="20"/>
      <c r="D45" s="20"/>
      <c r="E45" s="20">
        <v>5</v>
      </c>
      <c r="F45" s="20"/>
      <c r="G45" s="20"/>
      <c r="H45" s="20"/>
      <c r="I45" s="20"/>
      <c r="J45" s="20">
        <f>6</f>
        <v>6</v>
      </c>
      <c r="K45" s="20">
        <f>3</f>
        <v>3</v>
      </c>
      <c r="L45" s="20"/>
      <c r="M45" s="20"/>
      <c r="N45" s="20">
        <f>8</f>
        <v>8</v>
      </c>
      <c r="O45" s="20"/>
      <c r="P45" s="20">
        <f>20</f>
        <v>20</v>
      </c>
      <c r="Q45" s="20">
        <f>7+5</f>
        <v>12</v>
      </c>
      <c r="R45" s="20">
        <v>5</v>
      </c>
      <c r="S45" s="20">
        <f>10+5</f>
        <v>15</v>
      </c>
      <c r="T45" s="20">
        <v>5</v>
      </c>
      <c r="U45" s="20">
        <f>5+10</f>
        <v>15</v>
      </c>
      <c r="V45" s="20">
        <v>10</v>
      </c>
      <c r="W45" s="20">
        <f>SUM(B45:V45)+30</f>
        <v>134</v>
      </c>
      <c r="X45" s="4"/>
      <c r="Y45" s="6" t="s">
        <v>26</v>
      </c>
      <c r="Z45" s="1"/>
    </row>
    <row r="46" spans="1:28">
      <c r="A46" s="34" t="s">
        <v>119</v>
      </c>
      <c r="B46" s="20"/>
      <c r="C46" s="20"/>
      <c r="D46" s="20"/>
      <c r="E46" s="20"/>
      <c r="F46" s="20"/>
      <c r="G46" s="20"/>
      <c r="H46" s="20"/>
      <c r="I46" s="20">
        <f>14+3</f>
        <v>17</v>
      </c>
      <c r="J46" s="20"/>
      <c r="K46" s="20"/>
      <c r="L46" s="20"/>
      <c r="M46" s="20"/>
      <c r="N46" s="20"/>
      <c r="O46" s="20"/>
      <c r="P46" s="20"/>
      <c r="Q46" s="46">
        <f>25+3</f>
        <v>28</v>
      </c>
      <c r="R46" s="20"/>
      <c r="S46" s="20"/>
      <c r="T46" s="20"/>
      <c r="U46" s="20"/>
      <c r="V46" s="20"/>
      <c r="W46" s="20">
        <f t="shared" si="12"/>
        <v>45</v>
      </c>
      <c r="X46" s="4"/>
      <c r="Y46" s="6" t="s">
        <v>27</v>
      </c>
      <c r="Z46" s="1"/>
    </row>
    <row r="47" spans="1:28">
      <c r="A47" s="34" t="s">
        <v>120</v>
      </c>
      <c r="B47" s="21"/>
      <c r="C47" s="20"/>
      <c r="D47" s="20"/>
      <c r="E47" s="20"/>
      <c r="F47" s="2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>
        <f t="shared" si="12"/>
        <v>0</v>
      </c>
      <c r="X47" s="4"/>
      <c r="Y47" s="6" t="s">
        <v>21</v>
      </c>
      <c r="Z47" s="1"/>
    </row>
    <row r="48" spans="1:28">
      <c r="A48" s="2" t="s">
        <v>9</v>
      </c>
      <c r="B48" s="20">
        <f t="shared" ref="B48:V48" si="13">SUM(B39:B47)</f>
        <v>13</v>
      </c>
      <c r="C48" s="20">
        <f t="shared" si="13"/>
        <v>3</v>
      </c>
      <c r="D48" s="20">
        <f t="shared" si="13"/>
        <v>3</v>
      </c>
      <c r="E48" s="20">
        <f t="shared" si="13"/>
        <v>19</v>
      </c>
      <c r="F48" s="20">
        <f t="shared" si="13"/>
        <v>16</v>
      </c>
      <c r="G48" s="20">
        <f t="shared" si="13"/>
        <v>16</v>
      </c>
      <c r="H48" s="20">
        <f t="shared" si="13"/>
        <v>8</v>
      </c>
      <c r="I48" s="20">
        <f t="shared" si="13"/>
        <v>17</v>
      </c>
      <c r="J48" s="20">
        <f t="shared" si="13"/>
        <v>18</v>
      </c>
      <c r="K48" s="20">
        <f t="shared" si="13"/>
        <v>24</v>
      </c>
      <c r="L48" s="20">
        <f t="shared" si="13"/>
        <v>0</v>
      </c>
      <c r="M48" s="20">
        <f t="shared" si="13"/>
        <v>4</v>
      </c>
      <c r="N48" s="20">
        <f t="shared" si="13"/>
        <v>26</v>
      </c>
      <c r="O48" s="20">
        <f t="shared" si="13"/>
        <v>39</v>
      </c>
      <c r="P48" s="20">
        <f t="shared" si="13"/>
        <v>31</v>
      </c>
      <c r="Q48" s="20">
        <f t="shared" si="13"/>
        <v>42</v>
      </c>
      <c r="R48" s="20">
        <f t="shared" si="13"/>
        <v>5</v>
      </c>
      <c r="S48" s="20">
        <f t="shared" si="13"/>
        <v>15</v>
      </c>
      <c r="T48" s="20">
        <f t="shared" si="13"/>
        <v>15</v>
      </c>
      <c r="U48" s="20">
        <f t="shared" si="13"/>
        <v>22</v>
      </c>
      <c r="V48" s="20">
        <f t="shared" si="13"/>
        <v>10</v>
      </c>
      <c r="W48" s="20">
        <f>SUM(W39:W47)</f>
        <v>376</v>
      </c>
      <c r="X48" s="4"/>
      <c r="Y48" s="6" t="s">
        <v>22</v>
      </c>
      <c r="Z48" s="1"/>
    </row>
    <row r="49" spans="1:26">
      <c r="A49" s="2" t="s">
        <v>3</v>
      </c>
      <c r="B49" s="20">
        <f>B48</f>
        <v>13</v>
      </c>
      <c r="C49" s="20">
        <f t="shared" ref="C49:V49" si="14">B49+C48</f>
        <v>16</v>
      </c>
      <c r="D49" s="20">
        <f t="shared" si="14"/>
        <v>19</v>
      </c>
      <c r="E49" s="20">
        <f t="shared" si="14"/>
        <v>38</v>
      </c>
      <c r="F49" s="20">
        <f t="shared" si="14"/>
        <v>54</v>
      </c>
      <c r="G49" s="20">
        <f t="shared" si="14"/>
        <v>70</v>
      </c>
      <c r="H49" s="20">
        <f t="shared" si="14"/>
        <v>78</v>
      </c>
      <c r="I49" s="20">
        <f t="shared" si="14"/>
        <v>95</v>
      </c>
      <c r="J49" s="20">
        <f t="shared" si="14"/>
        <v>113</v>
      </c>
      <c r="K49" s="20">
        <f t="shared" si="14"/>
        <v>137</v>
      </c>
      <c r="L49" s="20">
        <f t="shared" si="14"/>
        <v>137</v>
      </c>
      <c r="M49" s="20">
        <f t="shared" si="14"/>
        <v>141</v>
      </c>
      <c r="N49" s="20">
        <f t="shared" si="14"/>
        <v>167</v>
      </c>
      <c r="O49" s="20">
        <f t="shared" si="14"/>
        <v>206</v>
      </c>
      <c r="P49" s="20">
        <f t="shared" si="14"/>
        <v>237</v>
      </c>
      <c r="Q49" s="20">
        <f t="shared" si="14"/>
        <v>279</v>
      </c>
      <c r="R49" s="20">
        <f t="shared" si="14"/>
        <v>284</v>
      </c>
      <c r="S49" s="20">
        <f t="shared" si="14"/>
        <v>299</v>
      </c>
      <c r="T49" s="20">
        <f t="shared" si="14"/>
        <v>314</v>
      </c>
      <c r="U49" s="20">
        <f t="shared" si="14"/>
        <v>336</v>
      </c>
      <c r="V49" s="20">
        <f>W48</f>
        <v>376</v>
      </c>
      <c r="W49" s="20">
        <f>AVERAGE(W39:W47)</f>
        <v>41.777777777777779</v>
      </c>
      <c r="X49" s="4"/>
      <c r="Y49" s="6" t="s">
        <v>28</v>
      </c>
      <c r="Z49" s="1"/>
    </row>
    <row r="50" spans="1:26">
      <c r="A50" s="17" t="s">
        <v>131</v>
      </c>
      <c r="B50" s="20" t="s">
        <v>134</v>
      </c>
      <c r="C50" s="20">
        <v>1</v>
      </c>
      <c r="D50" s="20">
        <v>2</v>
      </c>
      <c r="E50" s="20">
        <v>3</v>
      </c>
      <c r="F50" s="20">
        <v>4</v>
      </c>
      <c r="G50" s="20">
        <v>5</v>
      </c>
      <c r="H50" s="20">
        <v>6</v>
      </c>
      <c r="I50" s="20">
        <v>7</v>
      </c>
      <c r="J50" s="20">
        <v>8</v>
      </c>
      <c r="K50" s="20">
        <v>9</v>
      </c>
      <c r="L50" s="20">
        <v>10</v>
      </c>
      <c r="M50" s="20">
        <v>11</v>
      </c>
      <c r="N50" s="20">
        <v>12</v>
      </c>
      <c r="O50" s="20">
        <v>13</v>
      </c>
      <c r="P50" s="20">
        <v>14</v>
      </c>
      <c r="Q50" s="20">
        <v>15</v>
      </c>
      <c r="R50" s="20">
        <v>16</v>
      </c>
      <c r="S50" s="20">
        <v>17</v>
      </c>
      <c r="T50" s="20">
        <v>18</v>
      </c>
      <c r="U50" s="20">
        <v>19</v>
      </c>
      <c r="V50" s="20">
        <v>20</v>
      </c>
      <c r="W50" s="20" t="s">
        <v>2</v>
      </c>
      <c r="X50" s="4"/>
      <c r="Y50" s="6" t="s">
        <v>31</v>
      </c>
      <c r="Z50" s="1"/>
    </row>
    <row r="51" spans="1:26">
      <c r="A51" s="34" t="s">
        <v>121</v>
      </c>
      <c r="B51" s="20"/>
      <c r="C51" s="20"/>
      <c r="D51" s="20"/>
      <c r="E51" s="20"/>
      <c r="F51" s="20"/>
      <c r="G51" s="20"/>
      <c r="H51" s="20"/>
      <c r="I51" s="20"/>
      <c r="J51" s="20"/>
      <c r="K51" s="20">
        <f>4</f>
        <v>4</v>
      </c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>
        <f>SUM(B51:V51)</f>
        <v>4</v>
      </c>
      <c r="X51" s="4"/>
      <c r="Y51" s="6" t="s">
        <v>30</v>
      </c>
      <c r="Z51" s="1"/>
    </row>
    <row r="52" spans="1:26">
      <c r="A52" s="34" t="s">
        <v>122</v>
      </c>
      <c r="B52" s="20"/>
      <c r="C52" s="20"/>
      <c r="D52" s="20"/>
      <c r="E52" s="20"/>
      <c r="F52" s="20"/>
      <c r="G52" s="20">
        <v>1</v>
      </c>
      <c r="H52" s="20"/>
      <c r="I52" s="20"/>
      <c r="J52" s="20"/>
      <c r="K52" s="20"/>
      <c r="L52" s="20"/>
      <c r="M52" s="20">
        <f>10</f>
        <v>10</v>
      </c>
      <c r="N52" s="20"/>
      <c r="O52" s="20"/>
      <c r="P52" s="20"/>
      <c r="Q52" s="20"/>
      <c r="R52" s="20"/>
      <c r="S52" s="20"/>
      <c r="T52" s="20"/>
      <c r="U52" s="20"/>
      <c r="V52" s="20"/>
      <c r="W52" s="20">
        <f t="shared" ref="W52:W58" si="15">SUM(B52:V52)</f>
        <v>11</v>
      </c>
      <c r="X52" s="4"/>
      <c r="Y52" s="6" t="s">
        <v>29</v>
      </c>
      <c r="Z52" s="1"/>
    </row>
    <row r="53" spans="1:26">
      <c r="A53" s="34" t="s">
        <v>123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>
        <f t="shared" si="15"/>
        <v>0</v>
      </c>
      <c r="X53" s="4"/>
      <c r="Y53" s="6" t="s">
        <v>32</v>
      </c>
      <c r="Z53" s="1"/>
    </row>
    <row r="54" spans="1:26">
      <c r="A54" s="33" t="s">
        <v>124</v>
      </c>
      <c r="B54" s="20"/>
      <c r="C54" s="20">
        <v>10</v>
      </c>
      <c r="D54" s="20"/>
      <c r="E54" s="20"/>
      <c r="F54" s="20">
        <f>8</f>
        <v>8</v>
      </c>
      <c r="G54" s="20">
        <v>4</v>
      </c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>
        <f>6</f>
        <v>6</v>
      </c>
      <c r="W54" s="20">
        <f t="shared" si="15"/>
        <v>28</v>
      </c>
      <c r="X54" s="4"/>
      <c r="Y54" s="4"/>
      <c r="Z54" s="1"/>
    </row>
    <row r="55" spans="1:26">
      <c r="A55" s="34" t="s">
        <v>125</v>
      </c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>
        <f>12</f>
        <v>12</v>
      </c>
      <c r="V55" s="20"/>
      <c r="W55" s="20">
        <f t="shared" si="15"/>
        <v>12</v>
      </c>
      <c r="X55" s="4"/>
      <c r="Y55" s="6" t="s">
        <v>33</v>
      </c>
      <c r="Z55" s="1"/>
    </row>
    <row r="56" spans="1:26">
      <c r="A56" s="34" t="s">
        <v>126</v>
      </c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46">
        <f>25</f>
        <v>25</v>
      </c>
      <c r="Q56" s="20"/>
      <c r="R56" s="20"/>
      <c r="S56" s="20"/>
      <c r="T56" s="20"/>
      <c r="U56" s="20"/>
      <c r="V56" s="20"/>
      <c r="W56" s="20">
        <f t="shared" si="15"/>
        <v>25</v>
      </c>
      <c r="X56" s="4"/>
      <c r="Y56" s="6" t="s">
        <v>43</v>
      </c>
      <c r="Z56" s="1"/>
    </row>
    <row r="57" spans="1:26">
      <c r="A57" s="34" t="s">
        <v>127</v>
      </c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>
        <f t="shared" si="15"/>
        <v>0</v>
      </c>
      <c r="X57" s="4"/>
      <c r="Y57" s="6" t="s">
        <v>35</v>
      </c>
      <c r="Z57" s="1"/>
    </row>
    <row r="58" spans="1:26">
      <c r="A58" s="45" t="s">
        <v>128</v>
      </c>
      <c r="B58" s="20"/>
      <c r="C58" s="20"/>
      <c r="D58" s="20"/>
      <c r="E58" s="20"/>
      <c r="F58" s="20"/>
      <c r="G58" s="20">
        <v>5</v>
      </c>
      <c r="H58" s="20"/>
      <c r="I58" s="20"/>
      <c r="J58" s="20"/>
      <c r="K58" s="20"/>
      <c r="L58" s="20"/>
      <c r="M58" s="20"/>
      <c r="N58" s="44">
        <f>-10</f>
        <v>-10</v>
      </c>
      <c r="O58" s="44"/>
      <c r="P58" s="44"/>
      <c r="Q58" s="44"/>
      <c r="R58" s="44"/>
      <c r="S58" s="44"/>
      <c r="T58" s="44"/>
      <c r="U58" s="44"/>
      <c r="V58" s="44"/>
      <c r="W58" s="44">
        <f t="shared" si="15"/>
        <v>-5</v>
      </c>
      <c r="X58" s="4"/>
      <c r="Y58" s="6" t="s">
        <v>36</v>
      </c>
      <c r="Z58" s="1"/>
    </row>
    <row r="59" spans="1:26">
      <c r="A59" s="34" t="s">
        <v>129</v>
      </c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>
        <f>1</f>
        <v>1</v>
      </c>
      <c r="T59" s="20"/>
      <c r="U59" s="20"/>
      <c r="V59" s="20"/>
      <c r="W59" s="20">
        <f>SUM(B59:V59)</f>
        <v>1</v>
      </c>
      <c r="X59" s="4"/>
      <c r="Y59" s="6" t="s">
        <v>37</v>
      </c>
      <c r="Z59" s="1"/>
    </row>
    <row r="60" spans="1:26">
      <c r="A60" s="2" t="s">
        <v>9</v>
      </c>
      <c r="B60" s="20">
        <f t="shared" ref="B60:H60" si="16">SUM(B51:B59)</f>
        <v>0</v>
      </c>
      <c r="C60" s="20">
        <f t="shared" si="16"/>
        <v>10</v>
      </c>
      <c r="D60" s="20">
        <f t="shared" si="16"/>
        <v>0</v>
      </c>
      <c r="E60" s="20">
        <f t="shared" si="16"/>
        <v>0</v>
      </c>
      <c r="F60" s="20">
        <f t="shared" si="16"/>
        <v>8</v>
      </c>
      <c r="G60" s="20">
        <f t="shared" si="16"/>
        <v>10</v>
      </c>
      <c r="H60" s="20">
        <f t="shared" si="16"/>
        <v>0</v>
      </c>
      <c r="I60" s="20">
        <f t="shared" ref="I60:J60" si="17">SUM(I51:I59)</f>
        <v>0</v>
      </c>
      <c r="J60" s="20">
        <f t="shared" si="17"/>
        <v>0</v>
      </c>
      <c r="K60" s="20">
        <f t="shared" ref="K60:L60" si="18">SUM(K51:K59)</f>
        <v>4</v>
      </c>
      <c r="L60" s="20">
        <f t="shared" si="18"/>
        <v>0</v>
      </c>
      <c r="M60" s="20">
        <f t="shared" ref="M60:N60" si="19">SUM(M51:M59)</f>
        <v>10</v>
      </c>
      <c r="N60" s="20">
        <f t="shared" si="19"/>
        <v>-10</v>
      </c>
      <c r="O60" s="20">
        <f t="shared" ref="O60:P60" si="20">SUM(O51:O59)</f>
        <v>0</v>
      </c>
      <c r="P60" s="20">
        <f t="shared" si="20"/>
        <v>25</v>
      </c>
      <c r="Q60" s="20">
        <f t="shared" ref="Q60:R60" si="21">SUM(Q51:Q59)</f>
        <v>0</v>
      </c>
      <c r="R60" s="20">
        <f t="shared" si="21"/>
        <v>0</v>
      </c>
      <c r="S60" s="20">
        <f t="shared" ref="S60:V60" si="22">SUM(S51:S59)</f>
        <v>1</v>
      </c>
      <c r="T60" s="20">
        <f t="shared" si="22"/>
        <v>0</v>
      </c>
      <c r="U60" s="20">
        <f t="shared" si="22"/>
        <v>12</v>
      </c>
      <c r="V60" s="20">
        <f t="shared" si="22"/>
        <v>6</v>
      </c>
      <c r="W60" s="20">
        <f>SUM(W51:W59)</f>
        <v>76</v>
      </c>
      <c r="X60" s="4"/>
      <c r="Y60" s="6" t="s">
        <v>41</v>
      </c>
      <c r="Z60" s="1"/>
    </row>
    <row r="61" spans="1:26">
      <c r="A61" s="2" t="s">
        <v>3</v>
      </c>
      <c r="B61" s="20">
        <f>B60</f>
        <v>0</v>
      </c>
      <c r="C61" s="20">
        <f t="shared" ref="C61:V61" si="23">B61+C60</f>
        <v>10</v>
      </c>
      <c r="D61" s="20">
        <f t="shared" si="23"/>
        <v>10</v>
      </c>
      <c r="E61" s="20">
        <f t="shared" si="23"/>
        <v>10</v>
      </c>
      <c r="F61" s="20">
        <f t="shared" si="23"/>
        <v>18</v>
      </c>
      <c r="G61" s="20">
        <f t="shared" si="23"/>
        <v>28</v>
      </c>
      <c r="H61" s="20">
        <f t="shared" si="23"/>
        <v>28</v>
      </c>
      <c r="I61" s="20">
        <f t="shared" si="23"/>
        <v>28</v>
      </c>
      <c r="J61" s="20">
        <f t="shared" si="23"/>
        <v>28</v>
      </c>
      <c r="K61" s="20">
        <f t="shared" si="23"/>
        <v>32</v>
      </c>
      <c r="L61" s="20">
        <f t="shared" si="23"/>
        <v>32</v>
      </c>
      <c r="M61" s="20">
        <f t="shared" si="23"/>
        <v>42</v>
      </c>
      <c r="N61" s="20">
        <f t="shared" si="23"/>
        <v>32</v>
      </c>
      <c r="O61" s="20">
        <f t="shared" si="23"/>
        <v>32</v>
      </c>
      <c r="P61" s="20">
        <f t="shared" si="23"/>
        <v>57</v>
      </c>
      <c r="Q61" s="20">
        <f t="shared" si="23"/>
        <v>57</v>
      </c>
      <c r="R61" s="20">
        <f t="shared" si="23"/>
        <v>57</v>
      </c>
      <c r="S61" s="20">
        <f t="shared" si="23"/>
        <v>58</v>
      </c>
      <c r="T61" s="20">
        <f t="shared" si="23"/>
        <v>58</v>
      </c>
      <c r="U61" s="20">
        <f t="shared" si="23"/>
        <v>70</v>
      </c>
      <c r="V61" s="20">
        <f>W60</f>
        <v>76</v>
      </c>
      <c r="W61" s="20">
        <f>AVERAGE(W51:W59)</f>
        <v>8.4444444444444446</v>
      </c>
      <c r="X61" s="1"/>
      <c r="Y61" s="6" t="s">
        <v>39</v>
      </c>
      <c r="Z61" s="1"/>
    </row>
    <row r="62" spans="1:26">
      <c r="A62" s="2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4"/>
      <c r="Y62" s="6" t="s">
        <v>40</v>
      </c>
      <c r="Z62" s="1"/>
    </row>
    <row r="63" spans="1:26">
      <c r="A63" s="2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4"/>
      <c r="Y63" s="4"/>
      <c r="Z63" s="1"/>
    </row>
    <row r="64" spans="1:26">
      <c r="A64" s="2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4"/>
      <c r="Y64" s="1"/>
      <c r="Z64" s="1"/>
    </row>
    <row r="65" spans="1:26">
      <c r="A65" s="2" t="s">
        <v>4</v>
      </c>
      <c r="B65" s="2" t="s">
        <v>93</v>
      </c>
      <c r="C65" s="8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4"/>
      <c r="Y65" s="1"/>
      <c r="Z65" s="1"/>
    </row>
    <row r="66" spans="1:26">
      <c r="A66" s="2" t="s">
        <v>0</v>
      </c>
      <c r="B66" s="8">
        <f>$W$24</f>
        <v>1313</v>
      </c>
      <c r="C66" s="2" t="s">
        <v>8</v>
      </c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4"/>
      <c r="Y66" s="1"/>
      <c r="Z66" s="1"/>
    </row>
    <row r="67" spans="1:26">
      <c r="A67" s="2" t="s">
        <v>19</v>
      </c>
      <c r="B67" s="8">
        <f>$W$12</f>
        <v>911</v>
      </c>
      <c r="C67" s="13">
        <f>B66-B67</f>
        <v>402</v>
      </c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4"/>
      <c r="Y67" s="1"/>
      <c r="Z67" s="1"/>
    </row>
    <row r="68" spans="1:26">
      <c r="A68" s="2" t="s">
        <v>1</v>
      </c>
      <c r="B68" s="8">
        <f>$W$36</f>
        <v>623</v>
      </c>
      <c r="C68" s="13">
        <f>B67-B68</f>
        <v>288</v>
      </c>
      <c r="D68" s="20"/>
      <c r="E68" s="20"/>
      <c r="F68" s="20"/>
      <c r="G68" s="20"/>
      <c r="H68" s="20"/>
      <c r="I68" s="20"/>
      <c r="J68" s="22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4"/>
      <c r="Y68" s="1"/>
      <c r="Z68" s="1"/>
    </row>
    <row r="69" spans="1:26">
      <c r="A69" s="2" t="s">
        <v>38</v>
      </c>
      <c r="B69" s="1">
        <f>$W$48</f>
        <v>376</v>
      </c>
      <c r="C69" s="13">
        <f>B68-B69</f>
        <v>247</v>
      </c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4"/>
      <c r="Y69" s="1"/>
      <c r="Z69" s="1"/>
    </row>
    <row r="70" spans="1:26">
      <c r="A70" s="2" t="s">
        <v>12</v>
      </c>
      <c r="B70" s="8">
        <f>$W$60</f>
        <v>76</v>
      </c>
      <c r="C70" s="13">
        <f>B69-B70</f>
        <v>300</v>
      </c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4"/>
      <c r="Y70" s="1"/>
      <c r="Z70" s="1"/>
    </row>
    <row r="71" spans="1:26">
      <c r="C71" s="13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4"/>
      <c r="Y71" s="1"/>
      <c r="Z71" s="1"/>
    </row>
    <row r="72" spans="1:26">
      <c r="A72" s="2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1"/>
      <c r="Y72" s="1"/>
      <c r="Z72" s="1"/>
    </row>
    <row r="73" spans="1:26">
      <c r="A73" s="2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1"/>
      <c r="Y73" s="1"/>
      <c r="Z73" s="1"/>
    </row>
    <row r="74" spans="1:26">
      <c r="A74" s="15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"/>
      <c r="Y74" s="1"/>
      <c r="Z74" s="1"/>
    </row>
    <row r="75" spans="1:26"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"/>
      <c r="Y75" s="1"/>
      <c r="Z75" s="1"/>
    </row>
    <row r="76" spans="1:26"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"/>
      <c r="Y76" s="1"/>
      <c r="Z76" s="1"/>
    </row>
    <row r="77" spans="1:26"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"/>
      <c r="Y77" s="1"/>
      <c r="Z77" s="1"/>
    </row>
    <row r="78" spans="1:26"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"/>
      <c r="Y78" s="1"/>
      <c r="Z78" s="1"/>
    </row>
    <row r="79" spans="1:26"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"/>
      <c r="Y79" s="1"/>
      <c r="Z79" s="1"/>
    </row>
    <row r="80" spans="1:26"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"/>
      <c r="Y80" s="1"/>
      <c r="Z80" s="1"/>
    </row>
    <row r="81" spans="3:26"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"/>
      <c r="Y81" s="1"/>
      <c r="Z81" s="1"/>
    </row>
    <row r="82" spans="3:26"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"/>
      <c r="Y82" s="1"/>
      <c r="Z82" s="1"/>
    </row>
    <row r="83" spans="3:26"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"/>
      <c r="Y83" s="1"/>
      <c r="Z83" s="1"/>
    </row>
    <row r="84" spans="3:26"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"/>
      <c r="Y84" s="1"/>
      <c r="Z84" s="1"/>
    </row>
    <row r="85" spans="3:26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3:26"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3:26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3:26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3:26">
      <c r="D89" s="1"/>
      <c r="E89" s="14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3:26">
      <c r="D90" s="14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3:26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3:26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3:26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3:26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3:26">
      <c r="C95" s="8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3:26">
      <c r="C96" s="8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>
      <c r="C97" s="8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>
      <c r="C98" s="8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>
      <c r="C99" s="8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>
      <c r="C100" s="8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25" spans="1:23">
      <c r="A125" s="3"/>
    </row>
    <row r="126" spans="1:23">
      <c r="A126" s="6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</row>
    <row r="127" spans="1:23">
      <c r="A127" s="6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</row>
    <row r="128" spans="1:23">
      <c r="A128" s="6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</row>
    <row r="129" spans="1:1">
      <c r="A129" s="6"/>
    </row>
    <row r="150" spans="1:22">
      <c r="A150" s="3"/>
    </row>
    <row r="151" spans="1:22">
      <c r="A151" s="6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</row>
    <row r="152" spans="1:22">
      <c r="A152" s="6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</row>
    <row r="153" spans="1:22">
      <c r="A153" s="6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</row>
    <row r="154" spans="1:22">
      <c r="A154" s="6"/>
    </row>
    <row r="177" spans="1:22">
      <c r="A177" s="3"/>
    </row>
    <row r="178" spans="1:22">
      <c r="A178" s="6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</row>
    <row r="179" spans="1:22">
      <c r="A179" s="6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</row>
    <row r="180" spans="1:22">
      <c r="A180" s="6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</row>
    <row r="181" spans="1:22">
      <c r="A181" s="6"/>
    </row>
  </sheetData>
  <autoFilter ref="A65:B65">
    <sortState ref="A66:B70">
      <sortCondition descending="1" ref="B65"/>
    </sortState>
  </autoFilter>
  <phoneticPr fontId="0" type="noConversion"/>
  <conditionalFormatting sqref="AF13:AH13">
    <cfRule type="cellIs" dxfId="2" priority="1" stopIfTrue="1" operator="equal">
      <formula>19</formula>
    </cfRule>
    <cfRule type="cellIs" dxfId="1" priority="2" stopIfTrue="1" operator="equal">
      <formula>19</formula>
    </cfRule>
    <cfRule type="cellIs" dxfId="0" priority="3" stopIfTrue="1" operator="equal">
      <formula>$AG$31</formula>
    </cfRule>
  </conditionalFormatting>
  <pageMargins left="0.75" right="0.75" top="1" bottom="1" header="0.5" footer="0.5"/>
  <pageSetup paperSize="9" orientation="portrait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1"/>
  <sheetViews>
    <sheetView workbookViewId="0">
      <selection activeCell="H2" sqref="H2:H10"/>
    </sheetView>
  </sheetViews>
  <sheetFormatPr defaultRowHeight="12.75"/>
  <cols>
    <col min="1" max="1" width="4.140625" customWidth="1"/>
    <col min="2" max="2" width="12.42578125" customWidth="1"/>
    <col min="3" max="3" width="5.85546875" customWidth="1"/>
    <col min="4" max="4" width="12.42578125" customWidth="1"/>
    <col min="5" max="5" width="6.140625" customWidth="1"/>
    <col min="6" max="6" width="11.85546875" customWidth="1"/>
    <col min="7" max="7" width="5.85546875" customWidth="1"/>
    <col min="8" max="8" width="19.42578125" customWidth="1"/>
  </cols>
  <sheetData>
    <row r="1" spans="1:9">
      <c r="B1" s="18" t="s">
        <v>49</v>
      </c>
      <c r="C1">
        <v>500</v>
      </c>
      <c r="D1" s="18" t="s">
        <v>50</v>
      </c>
      <c r="E1">
        <v>500</v>
      </c>
      <c r="F1" s="18" t="s">
        <v>51</v>
      </c>
      <c r="G1">
        <v>500</v>
      </c>
      <c r="H1" s="18" t="s">
        <v>52</v>
      </c>
      <c r="I1">
        <v>500</v>
      </c>
    </row>
    <row r="2" spans="1:9">
      <c r="A2">
        <v>1</v>
      </c>
      <c r="B2" s="19" t="s">
        <v>58</v>
      </c>
      <c r="C2">
        <v>340</v>
      </c>
      <c r="D2" s="19" t="s">
        <v>61</v>
      </c>
      <c r="E2">
        <v>70</v>
      </c>
      <c r="F2" s="19" t="s">
        <v>59</v>
      </c>
      <c r="G2">
        <v>151</v>
      </c>
      <c r="H2" s="19" t="s">
        <v>54</v>
      </c>
      <c r="I2">
        <v>60</v>
      </c>
    </row>
    <row r="3" spans="1:9">
      <c r="A3">
        <v>2</v>
      </c>
      <c r="B3" s="19" t="s">
        <v>66</v>
      </c>
      <c r="C3">
        <v>66</v>
      </c>
      <c r="D3" s="19" t="s">
        <v>62</v>
      </c>
      <c r="E3">
        <v>300</v>
      </c>
      <c r="F3" s="19" t="s">
        <v>60</v>
      </c>
      <c r="G3">
        <v>255</v>
      </c>
      <c r="H3" s="19" t="s">
        <v>57</v>
      </c>
      <c r="I3">
        <v>120</v>
      </c>
    </row>
    <row r="4" spans="1:9">
      <c r="A4">
        <v>3</v>
      </c>
      <c r="B4" s="19" t="s">
        <v>44</v>
      </c>
      <c r="C4">
        <v>5</v>
      </c>
      <c r="D4" s="19" t="s">
        <v>63</v>
      </c>
      <c r="E4">
        <v>90</v>
      </c>
      <c r="F4" s="19" t="s">
        <v>67</v>
      </c>
      <c r="G4">
        <v>2</v>
      </c>
      <c r="H4" s="19" t="s">
        <v>64</v>
      </c>
      <c r="I4">
        <v>150</v>
      </c>
    </row>
    <row r="5" spans="1:9">
      <c r="A5">
        <v>4</v>
      </c>
      <c r="B5" s="19" t="s">
        <v>71</v>
      </c>
      <c r="C5">
        <v>51</v>
      </c>
      <c r="D5" s="19" t="s">
        <v>69</v>
      </c>
      <c r="E5">
        <v>1</v>
      </c>
      <c r="F5" s="19" t="s">
        <v>68</v>
      </c>
      <c r="G5">
        <v>37</v>
      </c>
      <c r="H5" s="19" t="s">
        <v>65</v>
      </c>
      <c r="I5">
        <v>100</v>
      </c>
    </row>
    <row r="6" spans="1:9">
      <c r="A6">
        <v>5</v>
      </c>
      <c r="B6" s="19" t="s">
        <v>78</v>
      </c>
      <c r="C6">
        <v>3</v>
      </c>
      <c r="D6" s="19" t="s">
        <v>70</v>
      </c>
      <c r="E6">
        <v>12</v>
      </c>
      <c r="F6" s="19" t="s">
        <v>72</v>
      </c>
      <c r="G6">
        <v>10</v>
      </c>
      <c r="H6" s="19" t="s">
        <v>45</v>
      </c>
      <c r="I6">
        <v>35</v>
      </c>
    </row>
    <row r="7" spans="1:9">
      <c r="A7">
        <v>6</v>
      </c>
      <c r="B7" s="19" t="s">
        <v>55</v>
      </c>
      <c r="C7">
        <v>4</v>
      </c>
      <c r="D7" s="19" t="s">
        <v>75</v>
      </c>
      <c r="E7">
        <v>22</v>
      </c>
      <c r="F7" s="19" t="s">
        <v>53</v>
      </c>
      <c r="G7">
        <v>24</v>
      </c>
      <c r="H7" s="19" t="s">
        <v>74</v>
      </c>
      <c r="I7">
        <v>19</v>
      </c>
    </row>
    <row r="8" spans="1:9">
      <c r="A8">
        <v>7</v>
      </c>
      <c r="B8" s="19" t="s">
        <v>79</v>
      </c>
      <c r="C8">
        <v>8</v>
      </c>
      <c r="D8" s="19" t="s">
        <v>56</v>
      </c>
      <c r="E8">
        <v>2</v>
      </c>
      <c r="F8" s="19" t="s">
        <v>73</v>
      </c>
      <c r="G8">
        <v>2</v>
      </c>
      <c r="H8" s="19" t="s">
        <v>76</v>
      </c>
      <c r="I8">
        <v>13</v>
      </c>
    </row>
    <row r="9" spans="1:9">
      <c r="A9">
        <v>8</v>
      </c>
      <c r="B9" s="19" t="s">
        <v>82</v>
      </c>
      <c r="C9">
        <v>7</v>
      </c>
      <c r="D9" s="19" t="s">
        <v>84</v>
      </c>
      <c r="E9">
        <v>1</v>
      </c>
      <c r="F9" s="19" t="s">
        <v>77</v>
      </c>
      <c r="G9">
        <v>12</v>
      </c>
      <c r="H9" s="19" t="s">
        <v>80</v>
      </c>
      <c r="I9">
        <v>1</v>
      </c>
    </row>
    <row r="10" spans="1:9">
      <c r="A10">
        <v>9</v>
      </c>
      <c r="B10" s="19" t="s">
        <v>83</v>
      </c>
      <c r="C10">
        <v>3</v>
      </c>
      <c r="D10" s="19" t="s">
        <v>85</v>
      </c>
      <c r="E10">
        <v>1</v>
      </c>
      <c r="F10" s="19" t="s">
        <v>46</v>
      </c>
      <c r="G10">
        <v>1</v>
      </c>
      <c r="H10" s="19" t="s">
        <v>81</v>
      </c>
      <c r="I10">
        <v>1</v>
      </c>
    </row>
    <row r="11" spans="1:9">
      <c r="A11" t="s">
        <v>2</v>
      </c>
      <c r="C11">
        <f>C1-SUM(C2:C10)</f>
        <v>13</v>
      </c>
      <c r="E11">
        <f>E1-SUM(E2:E10)</f>
        <v>1</v>
      </c>
      <c r="G11">
        <f>G1-SUM(G2:G10)</f>
        <v>6</v>
      </c>
      <c r="I11">
        <f>I1-SUM(I2:I10)</f>
        <v>1</v>
      </c>
    </row>
  </sheetData>
  <phoneticPr fontId="17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FANTATOUR</vt:lpstr>
      <vt:lpstr>ASTA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 Bonazzi</dc:creator>
  <cp:lastModifiedBy>Nico</cp:lastModifiedBy>
  <cp:lastPrinted>2004-05-08T16:57:53Z</cp:lastPrinted>
  <dcterms:created xsi:type="dcterms:W3CDTF">2002-05-11T16:46:25Z</dcterms:created>
  <dcterms:modified xsi:type="dcterms:W3CDTF">2010-07-25T19:11:49Z</dcterms:modified>
</cp:coreProperties>
</file>